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defaultThemeVersion="124226"/>
  <mc:AlternateContent xmlns:mc="http://schemas.openxmlformats.org/markup-compatibility/2006">
    <mc:Choice Requires="x15">
      <x15ac:absPath xmlns:x15ac="http://schemas.microsoft.com/office/spreadsheetml/2010/11/ac" url="/Users/EthanMorse/Documents/personal/website/ethanmorse.github.io/knowledge/texts/books/"/>
    </mc:Choice>
  </mc:AlternateContent>
  <xr:revisionPtr revIDLastSave="0" documentId="13_ncr:1_{F22717BD-89B1-0E46-BEC5-693812F48F77}" xr6:coauthVersionLast="45" xr6:coauthVersionMax="45" xr10:uidLastSave="{00000000-0000-0000-0000-000000000000}"/>
  <bookViews>
    <workbookView xWindow="240" yWindow="460" windowWidth="16100" windowHeight="14500" xr2:uid="{00000000-000D-0000-FFFF-FFFF00000000}"/>
  </bookViews>
  <sheets>
    <sheet name="Sheet1" sheetId="1" r:id="rId1"/>
  </sheets>
  <calcPr calcId="191029"/>
</workbook>
</file>

<file path=xl/calcChain.xml><?xml version="1.0" encoding="utf-8"?>
<calcChain xmlns="http://schemas.openxmlformats.org/spreadsheetml/2006/main">
  <c r="F642" i="1" l="1"/>
  <c r="E642" i="1"/>
  <c r="F641" i="1"/>
  <c r="E641" i="1"/>
  <c r="F640" i="1"/>
  <c r="E640" i="1"/>
  <c r="F639" i="1"/>
  <c r="E639" i="1"/>
  <c r="F638" i="1"/>
  <c r="E638" i="1"/>
  <c r="F637" i="1"/>
  <c r="E637" i="1"/>
  <c r="F636" i="1"/>
  <c r="E636" i="1"/>
  <c r="F635" i="1"/>
  <c r="E635" i="1"/>
  <c r="F634" i="1"/>
  <c r="E634" i="1"/>
  <c r="F633" i="1"/>
  <c r="E633" i="1"/>
  <c r="F632" i="1"/>
  <c r="E632" i="1"/>
  <c r="F631" i="1"/>
  <c r="E631" i="1"/>
  <c r="F630" i="1"/>
  <c r="E630" i="1"/>
  <c r="F629" i="1"/>
  <c r="E629" i="1"/>
  <c r="F628" i="1"/>
  <c r="E628" i="1"/>
  <c r="F627" i="1"/>
  <c r="E627" i="1"/>
  <c r="F626" i="1"/>
  <c r="E626" i="1"/>
  <c r="F625" i="1"/>
  <c r="E625" i="1"/>
  <c r="F624" i="1"/>
  <c r="E624" i="1"/>
  <c r="F623" i="1"/>
  <c r="E623" i="1"/>
  <c r="F622" i="1"/>
  <c r="E622" i="1"/>
  <c r="F621" i="1"/>
  <c r="E621" i="1"/>
  <c r="F620" i="1"/>
  <c r="E620" i="1"/>
  <c r="F619" i="1"/>
  <c r="E619" i="1"/>
  <c r="F618" i="1"/>
  <c r="E618" i="1"/>
  <c r="F617" i="1"/>
  <c r="E617" i="1"/>
  <c r="F616" i="1"/>
  <c r="E616" i="1"/>
  <c r="F615" i="1"/>
  <c r="E615" i="1"/>
  <c r="F614" i="1"/>
  <c r="E614" i="1"/>
  <c r="F613" i="1"/>
  <c r="E613" i="1"/>
  <c r="F612" i="1"/>
  <c r="E612" i="1"/>
  <c r="F611" i="1"/>
  <c r="E611" i="1"/>
  <c r="F610" i="1"/>
  <c r="E610" i="1"/>
  <c r="F609" i="1"/>
  <c r="E609" i="1"/>
  <c r="F608" i="1"/>
  <c r="E608" i="1"/>
  <c r="F607" i="1"/>
  <c r="E607" i="1"/>
  <c r="F606" i="1"/>
  <c r="E606" i="1"/>
  <c r="F605" i="1"/>
  <c r="E605" i="1"/>
  <c r="F604" i="1"/>
  <c r="E604" i="1"/>
  <c r="F603" i="1"/>
  <c r="E603" i="1"/>
  <c r="F602" i="1"/>
  <c r="E602" i="1"/>
  <c r="F601" i="1"/>
  <c r="E601" i="1"/>
  <c r="F600" i="1"/>
  <c r="E600" i="1"/>
  <c r="F599" i="1"/>
  <c r="E599" i="1"/>
  <c r="F598" i="1"/>
  <c r="E598" i="1"/>
  <c r="F597" i="1"/>
  <c r="E597" i="1"/>
  <c r="F596" i="1"/>
  <c r="E596" i="1"/>
  <c r="F595" i="1"/>
  <c r="E595" i="1"/>
  <c r="F594" i="1"/>
  <c r="E594" i="1"/>
  <c r="F593" i="1"/>
  <c r="E593" i="1"/>
  <c r="F592" i="1"/>
  <c r="E592" i="1"/>
  <c r="F591" i="1"/>
  <c r="E591" i="1"/>
  <c r="F590" i="1"/>
  <c r="E590" i="1"/>
  <c r="F589" i="1"/>
  <c r="E589" i="1"/>
  <c r="F588" i="1"/>
  <c r="E588" i="1"/>
  <c r="F587" i="1"/>
  <c r="E587" i="1"/>
  <c r="F586" i="1"/>
  <c r="E586" i="1"/>
  <c r="F585" i="1"/>
  <c r="E585" i="1"/>
  <c r="F584" i="1"/>
  <c r="E584" i="1"/>
  <c r="F583" i="1"/>
  <c r="E583" i="1"/>
  <c r="F582" i="1"/>
  <c r="E582" i="1"/>
  <c r="F581" i="1"/>
  <c r="E581" i="1"/>
  <c r="F580" i="1"/>
  <c r="E580" i="1"/>
  <c r="F579" i="1"/>
  <c r="E579" i="1"/>
  <c r="F578" i="1"/>
  <c r="E578" i="1"/>
  <c r="F577" i="1"/>
  <c r="E577" i="1"/>
  <c r="F576" i="1"/>
  <c r="E576" i="1"/>
  <c r="F575" i="1"/>
  <c r="E575" i="1"/>
  <c r="F574" i="1"/>
  <c r="E574" i="1"/>
  <c r="F573" i="1"/>
  <c r="E573" i="1"/>
  <c r="F572" i="1"/>
  <c r="E572" i="1"/>
  <c r="F571" i="1"/>
  <c r="E571" i="1"/>
  <c r="F570" i="1"/>
  <c r="E570" i="1"/>
  <c r="F569" i="1"/>
  <c r="E569" i="1"/>
  <c r="F568" i="1"/>
  <c r="E568" i="1"/>
  <c r="F567" i="1"/>
  <c r="E567" i="1"/>
  <c r="F566" i="1"/>
  <c r="E566" i="1"/>
  <c r="F565" i="1"/>
  <c r="E565" i="1"/>
  <c r="F564" i="1"/>
  <c r="E564" i="1"/>
  <c r="F563" i="1"/>
  <c r="E563" i="1"/>
  <c r="F562" i="1"/>
  <c r="E562" i="1"/>
  <c r="F561" i="1"/>
  <c r="E561" i="1"/>
  <c r="F560" i="1"/>
  <c r="E560" i="1"/>
  <c r="F559" i="1"/>
  <c r="E559" i="1"/>
  <c r="F558" i="1"/>
  <c r="E558" i="1"/>
  <c r="F557" i="1"/>
  <c r="E557" i="1"/>
  <c r="F556" i="1"/>
  <c r="E556" i="1"/>
  <c r="F555" i="1"/>
  <c r="E555" i="1"/>
  <c r="F554" i="1"/>
  <c r="E554" i="1"/>
  <c r="F553" i="1"/>
  <c r="E553" i="1"/>
  <c r="F552" i="1"/>
  <c r="E552" i="1"/>
  <c r="F551" i="1"/>
  <c r="E551" i="1"/>
  <c r="F550" i="1"/>
  <c r="E550" i="1"/>
  <c r="F549" i="1"/>
  <c r="E549" i="1"/>
  <c r="F548" i="1"/>
  <c r="E548" i="1"/>
  <c r="F547" i="1"/>
  <c r="E547" i="1"/>
  <c r="F546" i="1"/>
  <c r="E546" i="1"/>
  <c r="F545" i="1"/>
  <c r="E545" i="1"/>
  <c r="F544" i="1"/>
  <c r="E544" i="1"/>
  <c r="F543" i="1"/>
  <c r="E543" i="1"/>
  <c r="F542" i="1"/>
  <c r="E542" i="1"/>
  <c r="F541" i="1"/>
  <c r="E541" i="1"/>
  <c r="F540" i="1"/>
  <c r="E540" i="1"/>
  <c r="F539" i="1"/>
  <c r="E539" i="1"/>
  <c r="F538" i="1"/>
  <c r="E538" i="1"/>
  <c r="F537" i="1"/>
  <c r="E537" i="1"/>
  <c r="F536" i="1"/>
  <c r="E536" i="1"/>
  <c r="F535" i="1"/>
  <c r="E535" i="1"/>
  <c r="F534" i="1"/>
  <c r="E534" i="1"/>
  <c r="F533" i="1"/>
  <c r="E533" i="1"/>
  <c r="F532" i="1"/>
  <c r="E532" i="1"/>
  <c r="F531" i="1"/>
  <c r="E531" i="1"/>
  <c r="F530" i="1"/>
  <c r="E530" i="1"/>
  <c r="F529" i="1"/>
  <c r="E529" i="1"/>
  <c r="F528" i="1"/>
  <c r="E528" i="1"/>
  <c r="F527" i="1"/>
  <c r="E527" i="1"/>
  <c r="F526" i="1"/>
  <c r="E526" i="1"/>
  <c r="F525" i="1"/>
  <c r="E525" i="1"/>
  <c r="F524" i="1"/>
  <c r="E524" i="1"/>
  <c r="F523" i="1"/>
  <c r="E523" i="1"/>
  <c r="F522" i="1"/>
  <c r="E522" i="1"/>
  <c r="F521" i="1"/>
  <c r="E521" i="1"/>
  <c r="F520" i="1"/>
  <c r="E520" i="1"/>
  <c r="F519" i="1"/>
  <c r="E519" i="1"/>
  <c r="F518" i="1"/>
  <c r="E518" i="1"/>
  <c r="F517" i="1"/>
  <c r="E517" i="1"/>
  <c r="F516" i="1"/>
  <c r="E516" i="1"/>
  <c r="F515" i="1"/>
  <c r="E515" i="1"/>
  <c r="F514" i="1"/>
  <c r="E514" i="1"/>
  <c r="F513" i="1"/>
  <c r="E513" i="1"/>
  <c r="F512" i="1"/>
  <c r="E512" i="1"/>
  <c r="F511" i="1"/>
  <c r="E511" i="1"/>
  <c r="F510" i="1"/>
  <c r="E510" i="1"/>
  <c r="F509" i="1"/>
  <c r="E509" i="1"/>
  <c r="F508" i="1"/>
  <c r="E508" i="1"/>
  <c r="F507" i="1"/>
  <c r="E507" i="1"/>
  <c r="F506" i="1"/>
  <c r="E506" i="1"/>
  <c r="F505" i="1"/>
  <c r="E505" i="1"/>
  <c r="F504" i="1"/>
  <c r="E504" i="1"/>
  <c r="F503" i="1"/>
  <c r="E503" i="1"/>
  <c r="F502" i="1"/>
  <c r="E502" i="1"/>
  <c r="F501" i="1"/>
  <c r="E501" i="1"/>
  <c r="F500" i="1"/>
  <c r="E500" i="1"/>
  <c r="F499" i="1"/>
  <c r="E499" i="1"/>
  <c r="F498" i="1"/>
  <c r="E498" i="1"/>
  <c r="F497" i="1"/>
  <c r="E497" i="1"/>
  <c r="F496" i="1"/>
  <c r="E496" i="1"/>
  <c r="F495" i="1"/>
  <c r="E495" i="1"/>
  <c r="F494" i="1"/>
  <c r="E494" i="1"/>
  <c r="F493" i="1"/>
  <c r="E493" i="1"/>
  <c r="F492" i="1"/>
  <c r="E492" i="1"/>
  <c r="F491" i="1"/>
  <c r="E491" i="1"/>
  <c r="F490" i="1"/>
  <c r="E490" i="1"/>
  <c r="F489" i="1"/>
  <c r="E489" i="1"/>
  <c r="F488" i="1"/>
  <c r="E488" i="1"/>
  <c r="F487" i="1"/>
  <c r="E487" i="1"/>
  <c r="F486" i="1"/>
  <c r="E486" i="1"/>
  <c r="F485" i="1"/>
  <c r="E485" i="1"/>
  <c r="F484" i="1"/>
  <c r="E484" i="1"/>
  <c r="F483" i="1"/>
  <c r="E483" i="1"/>
  <c r="F482" i="1"/>
  <c r="E482" i="1"/>
  <c r="F481" i="1"/>
  <c r="E481" i="1"/>
  <c r="F480" i="1"/>
  <c r="E480" i="1"/>
  <c r="F479" i="1"/>
  <c r="E479" i="1"/>
  <c r="F478" i="1"/>
  <c r="E478" i="1"/>
  <c r="F477" i="1"/>
  <c r="E477" i="1"/>
  <c r="F476" i="1"/>
  <c r="E476" i="1"/>
  <c r="F475" i="1"/>
  <c r="E475" i="1"/>
  <c r="F474" i="1"/>
  <c r="E474" i="1"/>
  <c r="F473" i="1"/>
  <c r="E473" i="1"/>
  <c r="F472" i="1"/>
  <c r="E472" i="1"/>
  <c r="F471" i="1"/>
  <c r="E471" i="1"/>
  <c r="F470" i="1"/>
  <c r="E470" i="1"/>
  <c r="F469" i="1"/>
  <c r="E469" i="1"/>
  <c r="F468" i="1"/>
  <c r="E468" i="1"/>
  <c r="F467" i="1"/>
  <c r="E467" i="1"/>
  <c r="F466" i="1"/>
  <c r="E466" i="1"/>
  <c r="F465" i="1"/>
  <c r="E465" i="1"/>
  <c r="F464" i="1"/>
  <c r="E464" i="1"/>
  <c r="F463" i="1"/>
  <c r="E463" i="1"/>
  <c r="F462" i="1"/>
  <c r="E462" i="1"/>
  <c r="F461" i="1"/>
  <c r="E461" i="1"/>
  <c r="F460" i="1"/>
  <c r="E460" i="1"/>
  <c r="F459" i="1"/>
  <c r="E459" i="1"/>
  <c r="F458" i="1"/>
  <c r="E458" i="1"/>
  <c r="F457" i="1"/>
  <c r="E457" i="1"/>
  <c r="F456" i="1"/>
  <c r="E456" i="1"/>
  <c r="F455" i="1"/>
  <c r="E455" i="1"/>
  <c r="F454" i="1"/>
  <c r="E454" i="1"/>
  <c r="F453" i="1"/>
  <c r="E453" i="1"/>
  <c r="F452" i="1"/>
  <c r="E452" i="1"/>
  <c r="F451" i="1"/>
  <c r="E451" i="1"/>
  <c r="F450" i="1"/>
  <c r="E450" i="1"/>
  <c r="F449" i="1"/>
  <c r="E449" i="1"/>
  <c r="F448" i="1"/>
  <c r="E448" i="1"/>
  <c r="F447" i="1"/>
  <c r="E447" i="1"/>
  <c r="F446" i="1"/>
  <c r="E446" i="1"/>
  <c r="F445" i="1"/>
  <c r="E445" i="1"/>
  <c r="F444" i="1"/>
  <c r="E444" i="1"/>
  <c r="F443" i="1"/>
  <c r="E443" i="1"/>
  <c r="F442" i="1"/>
  <c r="E442" i="1"/>
  <c r="F441" i="1"/>
  <c r="E441" i="1"/>
  <c r="F440" i="1"/>
  <c r="E440" i="1"/>
  <c r="F439" i="1"/>
  <c r="E439" i="1"/>
  <c r="F438" i="1"/>
  <c r="E438" i="1"/>
  <c r="F437" i="1"/>
  <c r="E437" i="1"/>
  <c r="F436" i="1"/>
  <c r="E436" i="1"/>
  <c r="F435" i="1"/>
  <c r="E435" i="1"/>
  <c r="F434" i="1"/>
  <c r="E434" i="1"/>
  <c r="F433" i="1"/>
  <c r="E433" i="1"/>
  <c r="F432" i="1"/>
  <c r="E432" i="1"/>
  <c r="F431" i="1"/>
  <c r="E431" i="1"/>
  <c r="F430" i="1"/>
  <c r="E430" i="1"/>
  <c r="F429" i="1"/>
  <c r="E429" i="1"/>
  <c r="F428" i="1"/>
  <c r="E428" i="1"/>
  <c r="F427" i="1"/>
  <c r="E427" i="1"/>
  <c r="F426" i="1"/>
  <c r="E426" i="1"/>
  <c r="F425" i="1"/>
  <c r="E425" i="1"/>
  <c r="F424" i="1"/>
  <c r="E424" i="1"/>
  <c r="F423" i="1"/>
  <c r="E423" i="1"/>
  <c r="F422" i="1"/>
  <c r="E422" i="1"/>
  <c r="F421" i="1"/>
  <c r="E421" i="1"/>
  <c r="F420" i="1"/>
  <c r="E420" i="1"/>
  <c r="F419" i="1"/>
  <c r="E419" i="1"/>
  <c r="F418" i="1"/>
  <c r="E418" i="1"/>
  <c r="F417" i="1"/>
  <c r="E417" i="1"/>
  <c r="F416" i="1"/>
  <c r="E416" i="1"/>
  <c r="F415" i="1"/>
  <c r="E415" i="1"/>
  <c r="F414" i="1"/>
  <c r="E414" i="1"/>
  <c r="F413" i="1"/>
  <c r="E413" i="1"/>
  <c r="F412" i="1"/>
  <c r="E412" i="1"/>
  <c r="F411" i="1"/>
  <c r="E411" i="1"/>
  <c r="F410" i="1"/>
  <c r="E410" i="1"/>
  <c r="F409" i="1"/>
  <c r="E409" i="1"/>
  <c r="F408" i="1"/>
  <c r="E408" i="1"/>
  <c r="F407" i="1"/>
  <c r="E407" i="1"/>
  <c r="F406" i="1"/>
  <c r="E406" i="1"/>
  <c r="F405" i="1"/>
  <c r="E405" i="1"/>
  <c r="F404" i="1"/>
  <c r="E404" i="1"/>
  <c r="F403" i="1"/>
  <c r="E403" i="1"/>
  <c r="F402" i="1"/>
  <c r="E402" i="1"/>
  <c r="F401" i="1"/>
  <c r="E401" i="1"/>
  <c r="F400" i="1"/>
  <c r="E400" i="1"/>
  <c r="F399" i="1"/>
  <c r="E399" i="1"/>
  <c r="F398" i="1"/>
  <c r="E398" i="1"/>
  <c r="F397" i="1"/>
  <c r="E397" i="1"/>
  <c r="F396" i="1"/>
  <c r="E396" i="1"/>
  <c r="F395" i="1"/>
  <c r="E395" i="1"/>
  <c r="F394" i="1"/>
  <c r="E394" i="1"/>
  <c r="F393" i="1"/>
  <c r="E393" i="1"/>
  <c r="F392" i="1"/>
  <c r="E392" i="1"/>
  <c r="F391" i="1"/>
  <c r="E391" i="1"/>
  <c r="F390" i="1"/>
  <c r="E390" i="1"/>
  <c r="F389" i="1"/>
  <c r="E389" i="1"/>
  <c r="F388" i="1"/>
  <c r="E388" i="1"/>
  <c r="F387" i="1"/>
  <c r="E387" i="1"/>
  <c r="F386" i="1"/>
  <c r="E386" i="1"/>
  <c r="F385" i="1"/>
  <c r="E385" i="1"/>
  <c r="F384" i="1"/>
  <c r="E384" i="1"/>
  <c r="F383" i="1"/>
  <c r="E383" i="1"/>
  <c r="F382" i="1"/>
  <c r="E382" i="1"/>
  <c r="F381" i="1"/>
  <c r="E381" i="1"/>
  <c r="F380" i="1"/>
  <c r="E380" i="1"/>
  <c r="F379" i="1"/>
  <c r="E379" i="1"/>
  <c r="F378" i="1"/>
  <c r="E378" i="1"/>
  <c r="F377" i="1"/>
  <c r="E377" i="1"/>
  <c r="F376" i="1"/>
  <c r="E376" i="1"/>
  <c r="F375" i="1"/>
  <c r="E375" i="1"/>
  <c r="F374" i="1"/>
  <c r="E374" i="1"/>
  <c r="F373" i="1"/>
  <c r="E373" i="1"/>
  <c r="F372" i="1"/>
  <c r="E372" i="1"/>
  <c r="F371" i="1"/>
  <c r="E371" i="1"/>
  <c r="F370" i="1"/>
  <c r="E370" i="1"/>
  <c r="F369" i="1"/>
  <c r="E369" i="1"/>
  <c r="F368" i="1"/>
  <c r="E368" i="1"/>
  <c r="F367" i="1"/>
  <c r="E367" i="1"/>
  <c r="F366" i="1"/>
  <c r="E366" i="1"/>
  <c r="F365" i="1"/>
  <c r="E365" i="1"/>
  <c r="F364" i="1"/>
  <c r="E364" i="1"/>
  <c r="F363" i="1"/>
  <c r="E363" i="1"/>
  <c r="F362" i="1"/>
  <c r="E362" i="1"/>
  <c r="F361" i="1"/>
  <c r="E361" i="1"/>
  <c r="F360" i="1"/>
  <c r="E360" i="1"/>
  <c r="F359" i="1"/>
  <c r="E359" i="1"/>
  <c r="F358" i="1"/>
  <c r="E358" i="1"/>
  <c r="F357" i="1"/>
  <c r="E357" i="1"/>
  <c r="F356" i="1"/>
  <c r="E356" i="1"/>
  <c r="F355" i="1"/>
  <c r="E355" i="1"/>
  <c r="F354" i="1"/>
  <c r="E354" i="1"/>
  <c r="F353" i="1"/>
  <c r="E353" i="1"/>
  <c r="F352" i="1"/>
  <c r="E352" i="1"/>
  <c r="F351" i="1"/>
  <c r="E351" i="1"/>
  <c r="F350" i="1"/>
  <c r="E350" i="1"/>
  <c r="F349" i="1"/>
  <c r="E349" i="1"/>
  <c r="F348" i="1"/>
  <c r="E348" i="1"/>
  <c r="F347" i="1"/>
  <c r="E347" i="1"/>
  <c r="F346" i="1"/>
  <c r="E346" i="1"/>
  <c r="F345" i="1"/>
  <c r="E345" i="1"/>
  <c r="F344" i="1"/>
  <c r="E344" i="1"/>
  <c r="F343" i="1"/>
  <c r="E343" i="1"/>
  <c r="F342" i="1"/>
  <c r="E342" i="1"/>
  <c r="F341" i="1"/>
  <c r="E341" i="1"/>
  <c r="F340" i="1"/>
  <c r="E340" i="1"/>
  <c r="F339" i="1"/>
  <c r="E339" i="1"/>
  <c r="F338" i="1"/>
  <c r="E338" i="1"/>
  <c r="F337" i="1"/>
  <c r="E337" i="1"/>
  <c r="F336" i="1"/>
  <c r="E336" i="1"/>
  <c r="F335" i="1"/>
  <c r="E335" i="1"/>
  <c r="F334" i="1"/>
  <c r="E334" i="1"/>
  <c r="F333" i="1"/>
  <c r="E333" i="1"/>
  <c r="F332" i="1"/>
  <c r="E332" i="1"/>
  <c r="F331" i="1"/>
  <c r="E331" i="1"/>
  <c r="F330" i="1"/>
  <c r="E330" i="1"/>
  <c r="F329" i="1"/>
  <c r="E329" i="1"/>
  <c r="F328" i="1"/>
  <c r="E328" i="1"/>
  <c r="F327" i="1"/>
  <c r="E327" i="1"/>
  <c r="F326" i="1"/>
  <c r="E326" i="1"/>
  <c r="F325" i="1"/>
  <c r="E325" i="1"/>
  <c r="F324" i="1"/>
  <c r="E324" i="1"/>
  <c r="F323" i="1"/>
  <c r="E323" i="1"/>
  <c r="F322" i="1"/>
  <c r="E322" i="1"/>
  <c r="F321" i="1"/>
  <c r="E321" i="1"/>
  <c r="F320" i="1"/>
  <c r="E320" i="1"/>
  <c r="F319" i="1"/>
  <c r="E319" i="1"/>
  <c r="F318" i="1"/>
  <c r="E318" i="1"/>
  <c r="F317" i="1"/>
  <c r="E317" i="1"/>
  <c r="F316" i="1"/>
  <c r="E316" i="1"/>
  <c r="F315" i="1"/>
  <c r="E315" i="1"/>
  <c r="F314" i="1"/>
  <c r="E314" i="1"/>
  <c r="F313" i="1"/>
  <c r="E313" i="1"/>
  <c r="F312" i="1"/>
  <c r="E312" i="1"/>
  <c r="F311" i="1"/>
  <c r="E311" i="1"/>
  <c r="F310" i="1"/>
  <c r="E310" i="1"/>
  <c r="F309" i="1"/>
  <c r="E309" i="1"/>
  <c r="F308" i="1"/>
  <c r="E308" i="1"/>
  <c r="F307" i="1"/>
  <c r="E307" i="1"/>
  <c r="F306" i="1"/>
  <c r="E306" i="1"/>
  <c r="F305" i="1"/>
  <c r="E305" i="1"/>
  <c r="F304" i="1"/>
  <c r="E304" i="1"/>
  <c r="F303" i="1"/>
  <c r="E303" i="1"/>
  <c r="F302" i="1"/>
  <c r="E302" i="1"/>
  <c r="F301" i="1"/>
  <c r="E301" i="1"/>
  <c r="F300" i="1"/>
  <c r="E300" i="1"/>
  <c r="F299" i="1"/>
  <c r="E299" i="1"/>
  <c r="F298" i="1"/>
  <c r="E298" i="1"/>
  <c r="F297" i="1"/>
  <c r="E297" i="1"/>
  <c r="F296" i="1"/>
  <c r="E296" i="1"/>
  <c r="F295" i="1"/>
  <c r="E295" i="1"/>
  <c r="F294" i="1"/>
  <c r="E294" i="1"/>
  <c r="F293" i="1"/>
  <c r="E293" i="1"/>
  <c r="F292" i="1"/>
  <c r="E292" i="1"/>
  <c r="F291" i="1"/>
  <c r="E291" i="1"/>
  <c r="F290" i="1"/>
  <c r="E290" i="1"/>
  <c r="F289" i="1"/>
  <c r="E289" i="1"/>
  <c r="F288" i="1"/>
  <c r="E288" i="1"/>
  <c r="F287" i="1"/>
  <c r="E287" i="1"/>
  <c r="F286" i="1"/>
  <c r="E286" i="1"/>
  <c r="F285" i="1"/>
  <c r="E285" i="1"/>
  <c r="F284" i="1"/>
  <c r="E284" i="1"/>
  <c r="F283" i="1"/>
  <c r="E283" i="1"/>
  <c r="F282" i="1"/>
  <c r="E282" i="1"/>
  <c r="F281" i="1"/>
  <c r="E281" i="1"/>
  <c r="F280" i="1"/>
  <c r="E280" i="1"/>
  <c r="F279" i="1"/>
  <c r="E279" i="1"/>
  <c r="F278" i="1"/>
  <c r="E278" i="1"/>
  <c r="F277" i="1"/>
  <c r="E277" i="1"/>
  <c r="F276" i="1"/>
  <c r="E276" i="1"/>
  <c r="F275" i="1"/>
  <c r="E275" i="1"/>
  <c r="F274" i="1"/>
  <c r="E274" i="1"/>
  <c r="F273" i="1"/>
  <c r="E273" i="1"/>
  <c r="F272" i="1"/>
  <c r="E272" i="1"/>
  <c r="F271" i="1"/>
  <c r="E271" i="1"/>
  <c r="F270" i="1"/>
  <c r="E270" i="1"/>
  <c r="F269" i="1"/>
  <c r="E269" i="1"/>
  <c r="F268" i="1"/>
  <c r="E268" i="1"/>
  <c r="F267" i="1"/>
  <c r="E267" i="1"/>
  <c r="F266" i="1"/>
  <c r="E266" i="1"/>
  <c r="F265" i="1"/>
  <c r="E265" i="1"/>
  <c r="F264" i="1"/>
  <c r="E264" i="1"/>
  <c r="F263" i="1"/>
  <c r="E263" i="1"/>
  <c r="F262" i="1"/>
  <c r="E262" i="1"/>
  <c r="F261" i="1"/>
  <c r="E261" i="1"/>
  <c r="F260" i="1"/>
  <c r="E260" i="1"/>
  <c r="F259" i="1"/>
  <c r="E259" i="1"/>
  <c r="F258" i="1"/>
  <c r="E258" i="1"/>
  <c r="F257" i="1"/>
  <c r="E257" i="1"/>
  <c r="F256" i="1"/>
  <c r="E256" i="1"/>
  <c r="F255" i="1"/>
  <c r="E255" i="1"/>
  <c r="F254" i="1"/>
  <c r="E254" i="1"/>
  <c r="F253" i="1"/>
  <c r="E253" i="1"/>
  <c r="F252" i="1"/>
  <c r="E252" i="1"/>
  <c r="F251" i="1"/>
  <c r="E251" i="1"/>
  <c r="F250" i="1"/>
  <c r="E250" i="1"/>
  <c r="F249" i="1"/>
  <c r="E249" i="1"/>
  <c r="F248" i="1"/>
  <c r="E248" i="1"/>
  <c r="F247" i="1"/>
  <c r="E247" i="1"/>
  <c r="F246" i="1"/>
  <c r="E246" i="1"/>
  <c r="F245" i="1"/>
  <c r="E245" i="1"/>
  <c r="F244" i="1"/>
  <c r="E244" i="1"/>
  <c r="F243" i="1"/>
  <c r="E243" i="1"/>
  <c r="F242" i="1"/>
  <c r="E242" i="1"/>
  <c r="F241" i="1"/>
  <c r="E241" i="1"/>
  <c r="F240" i="1"/>
  <c r="E240" i="1"/>
  <c r="F239" i="1"/>
  <c r="E239" i="1"/>
  <c r="F238" i="1"/>
  <c r="E238" i="1"/>
  <c r="F237" i="1"/>
  <c r="E237" i="1"/>
  <c r="F236" i="1"/>
  <c r="E236" i="1"/>
  <c r="F235" i="1"/>
  <c r="E235" i="1"/>
  <c r="F234" i="1"/>
  <c r="E234" i="1"/>
  <c r="F233" i="1"/>
  <c r="E233" i="1"/>
  <c r="F232" i="1"/>
  <c r="E232" i="1"/>
  <c r="F231" i="1"/>
  <c r="E231" i="1"/>
  <c r="F230" i="1"/>
  <c r="E230" i="1"/>
  <c r="F229" i="1"/>
  <c r="E229" i="1"/>
  <c r="F228" i="1"/>
  <c r="E228" i="1"/>
  <c r="F227" i="1"/>
  <c r="E227" i="1"/>
  <c r="F226" i="1"/>
  <c r="E226" i="1"/>
  <c r="F225" i="1"/>
  <c r="E225" i="1"/>
  <c r="F224" i="1"/>
  <c r="E224" i="1"/>
  <c r="F223" i="1"/>
  <c r="E223" i="1"/>
  <c r="F222" i="1"/>
  <c r="E222" i="1"/>
  <c r="F221" i="1"/>
  <c r="E221" i="1"/>
  <c r="F220" i="1"/>
  <c r="E220" i="1"/>
  <c r="F219" i="1"/>
  <c r="E219" i="1"/>
  <c r="F218" i="1"/>
  <c r="E218" i="1"/>
  <c r="F217" i="1"/>
  <c r="E217" i="1"/>
  <c r="F216" i="1"/>
  <c r="E216" i="1"/>
  <c r="F215" i="1"/>
  <c r="E215" i="1"/>
  <c r="F214" i="1"/>
  <c r="E214" i="1"/>
  <c r="F213" i="1"/>
  <c r="E213" i="1"/>
  <c r="F212" i="1"/>
  <c r="E212" i="1"/>
  <c r="F211" i="1"/>
  <c r="E211" i="1"/>
  <c r="F210" i="1"/>
  <c r="E210" i="1"/>
  <c r="F209" i="1"/>
  <c r="E209" i="1"/>
  <c r="F208" i="1"/>
  <c r="E208" i="1"/>
  <c r="F207" i="1"/>
  <c r="E207" i="1"/>
  <c r="F206" i="1"/>
  <c r="E206" i="1"/>
  <c r="F205" i="1"/>
  <c r="E205" i="1"/>
  <c r="F204" i="1"/>
  <c r="E204" i="1"/>
  <c r="F203" i="1"/>
  <c r="E203" i="1"/>
  <c r="F202" i="1"/>
  <c r="E202" i="1"/>
  <c r="F201" i="1"/>
  <c r="E201" i="1"/>
  <c r="F200" i="1"/>
  <c r="E200" i="1"/>
  <c r="F199" i="1"/>
  <c r="E199" i="1"/>
  <c r="F198" i="1"/>
  <c r="E198" i="1"/>
  <c r="F197" i="1"/>
  <c r="E197" i="1"/>
  <c r="F196" i="1"/>
  <c r="E196" i="1"/>
  <c r="F195" i="1"/>
  <c r="E195" i="1"/>
  <c r="F194" i="1"/>
  <c r="E194" i="1"/>
  <c r="F193" i="1"/>
  <c r="E193" i="1"/>
  <c r="F192" i="1"/>
  <c r="E192" i="1"/>
  <c r="F191" i="1"/>
  <c r="E191" i="1"/>
  <c r="F190" i="1"/>
  <c r="E190" i="1"/>
  <c r="F189" i="1"/>
  <c r="E189" i="1"/>
  <c r="F188" i="1"/>
  <c r="E188" i="1"/>
  <c r="F187" i="1"/>
  <c r="E187" i="1"/>
  <c r="F186" i="1"/>
  <c r="E186" i="1"/>
  <c r="F185" i="1"/>
  <c r="E185" i="1"/>
  <c r="F184" i="1"/>
  <c r="E184" i="1"/>
  <c r="F183" i="1"/>
  <c r="E183" i="1"/>
  <c r="F182" i="1"/>
  <c r="E182" i="1"/>
  <c r="F181" i="1"/>
  <c r="E181" i="1"/>
  <c r="F180" i="1"/>
  <c r="E180" i="1"/>
  <c r="F179" i="1"/>
  <c r="E179" i="1"/>
  <c r="F178" i="1"/>
  <c r="E178" i="1"/>
  <c r="F177" i="1"/>
  <c r="E177" i="1"/>
  <c r="F176" i="1"/>
  <c r="E176" i="1"/>
  <c r="F175" i="1"/>
  <c r="E175" i="1"/>
  <c r="F174" i="1"/>
  <c r="E174" i="1"/>
  <c r="F173" i="1"/>
  <c r="E173" i="1"/>
  <c r="F172" i="1"/>
  <c r="E172" i="1"/>
  <c r="F171" i="1"/>
  <c r="E171" i="1"/>
  <c r="F170" i="1"/>
  <c r="E170" i="1"/>
  <c r="F169" i="1"/>
  <c r="E169" i="1"/>
  <c r="F168" i="1"/>
  <c r="E168" i="1"/>
  <c r="F167" i="1"/>
  <c r="E167" i="1"/>
  <c r="F166" i="1"/>
  <c r="E166" i="1"/>
  <c r="F165" i="1"/>
  <c r="E165" i="1"/>
  <c r="F164" i="1"/>
  <c r="E164" i="1"/>
  <c r="F163" i="1"/>
  <c r="E163" i="1"/>
  <c r="F162" i="1"/>
  <c r="E162" i="1"/>
  <c r="F161" i="1"/>
  <c r="E161" i="1"/>
  <c r="F160" i="1"/>
  <c r="E160" i="1"/>
  <c r="F159" i="1"/>
  <c r="E159" i="1"/>
  <c r="F158" i="1"/>
  <c r="E158" i="1"/>
  <c r="F157" i="1"/>
  <c r="E157" i="1"/>
  <c r="F156" i="1"/>
  <c r="E156" i="1"/>
  <c r="F155" i="1"/>
  <c r="E155" i="1"/>
  <c r="F154" i="1"/>
  <c r="E154" i="1"/>
  <c r="F153" i="1"/>
  <c r="E153" i="1"/>
  <c r="F152" i="1"/>
  <c r="E152" i="1"/>
  <c r="F151" i="1"/>
  <c r="E151" i="1"/>
  <c r="F150" i="1"/>
  <c r="E150" i="1"/>
  <c r="F149" i="1"/>
  <c r="E149" i="1"/>
  <c r="F148" i="1"/>
  <c r="E148" i="1"/>
  <c r="F147" i="1"/>
  <c r="E147" i="1"/>
  <c r="F146" i="1"/>
  <c r="E146" i="1"/>
  <c r="F145" i="1"/>
  <c r="E145" i="1"/>
  <c r="F144" i="1"/>
  <c r="E144" i="1"/>
  <c r="F143" i="1"/>
  <c r="E143" i="1"/>
  <c r="F142" i="1"/>
  <c r="E142" i="1"/>
  <c r="F141" i="1"/>
  <c r="E141" i="1"/>
  <c r="F140" i="1"/>
  <c r="E140" i="1"/>
  <c r="F139" i="1"/>
  <c r="E139" i="1"/>
  <c r="F138" i="1"/>
  <c r="E138" i="1"/>
  <c r="F137" i="1"/>
  <c r="E137" i="1"/>
  <c r="F136" i="1"/>
  <c r="E136" i="1"/>
  <c r="F135" i="1"/>
  <c r="E135" i="1"/>
  <c r="F134" i="1"/>
  <c r="E134" i="1"/>
  <c r="F133" i="1"/>
  <c r="E133" i="1"/>
  <c r="F132" i="1"/>
  <c r="E132" i="1"/>
  <c r="F131" i="1"/>
  <c r="E131" i="1"/>
  <c r="F130" i="1"/>
  <c r="E130" i="1"/>
  <c r="F129" i="1"/>
  <c r="E129" i="1"/>
  <c r="F128" i="1"/>
  <c r="E128" i="1"/>
  <c r="F127" i="1"/>
  <c r="E127" i="1"/>
  <c r="F126" i="1"/>
  <c r="E126" i="1"/>
  <c r="F125" i="1"/>
  <c r="E125" i="1"/>
  <c r="F124" i="1"/>
  <c r="E124" i="1"/>
  <c r="F123" i="1"/>
  <c r="E123" i="1"/>
  <c r="F122" i="1"/>
  <c r="E122" i="1"/>
  <c r="F121" i="1"/>
  <c r="E121" i="1"/>
  <c r="F120" i="1"/>
  <c r="E120" i="1"/>
  <c r="F119" i="1"/>
  <c r="E119" i="1"/>
  <c r="F118" i="1"/>
  <c r="E118" i="1"/>
  <c r="F117" i="1"/>
  <c r="E117" i="1"/>
  <c r="F116" i="1"/>
  <c r="E116" i="1"/>
  <c r="F115" i="1"/>
  <c r="E115" i="1"/>
  <c r="F114" i="1"/>
  <c r="E114" i="1"/>
  <c r="F113" i="1"/>
  <c r="E113" i="1"/>
  <c r="F112" i="1"/>
  <c r="E112" i="1"/>
  <c r="F111" i="1"/>
  <c r="E111" i="1"/>
  <c r="F110" i="1"/>
  <c r="E110" i="1"/>
  <c r="F109" i="1"/>
  <c r="E109" i="1"/>
  <c r="F108" i="1"/>
  <c r="E108" i="1"/>
  <c r="F107" i="1"/>
  <c r="E107" i="1"/>
  <c r="F106" i="1"/>
  <c r="E106" i="1"/>
  <c r="F105" i="1"/>
  <c r="E105" i="1"/>
  <c r="F104" i="1"/>
  <c r="E104" i="1"/>
  <c r="F103" i="1"/>
  <c r="E103" i="1"/>
  <c r="F102" i="1"/>
  <c r="E102" i="1"/>
  <c r="F101" i="1"/>
  <c r="E101" i="1"/>
  <c r="F100" i="1"/>
  <c r="E100" i="1"/>
  <c r="F99" i="1"/>
  <c r="E99" i="1"/>
  <c r="F98" i="1"/>
  <c r="E98" i="1"/>
  <c r="F97" i="1"/>
  <c r="E97" i="1"/>
  <c r="F96" i="1"/>
  <c r="E96" i="1"/>
  <c r="F95" i="1"/>
  <c r="E95" i="1"/>
  <c r="F94" i="1"/>
  <c r="E94" i="1"/>
  <c r="F93" i="1"/>
  <c r="E93" i="1"/>
  <c r="F92" i="1"/>
  <c r="E92" i="1"/>
  <c r="F91" i="1"/>
  <c r="E91" i="1"/>
  <c r="F90" i="1"/>
  <c r="E90" i="1"/>
  <c r="F89" i="1"/>
  <c r="E89" i="1"/>
  <c r="F88" i="1"/>
  <c r="E88" i="1"/>
  <c r="F87" i="1"/>
  <c r="E87" i="1"/>
  <c r="F86" i="1"/>
  <c r="E86" i="1"/>
  <c r="F85" i="1"/>
  <c r="E85" i="1"/>
  <c r="F84" i="1"/>
  <c r="E84" i="1"/>
  <c r="F83" i="1"/>
  <c r="E83" i="1"/>
  <c r="F82" i="1"/>
  <c r="E82" i="1"/>
  <c r="F81" i="1"/>
  <c r="E81" i="1"/>
  <c r="F80" i="1"/>
  <c r="E80" i="1"/>
  <c r="F79" i="1"/>
  <c r="E79" i="1"/>
  <c r="F78" i="1"/>
  <c r="E78" i="1"/>
  <c r="F77" i="1"/>
  <c r="E77" i="1"/>
  <c r="F76" i="1"/>
  <c r="E76" i="1"/>
  <c r="F75" i="1"/>
  <c r="E75" i="1"/>
  <c r="F74" i="1"/>
  <c r="E74" i="1"/>
  <c r="F73" i="1"/>
  <c r="E73" i="1"/>
  <c r="F72" i="1"/>
  <c r="E72" i="1"/>
  <c r="F71" i="1"/>
  <c r="E71" i="1"/>
  <c r="F70" i="1"/>
  <c r="E70" i="1"/>
  <c r="F69" i="1"/>
  <c r="E69" i="1"/>
  <c r="F68" i="1"/>
  <c r="E68" i="1"/>
  <c r="F67" i="1"/>
  <c r="E67" i="1"/>
  <c r="F66" i="1"/>
  <c r="E66" i="1"/>
  <c r="F65" i="1"/>
  <c r="E65" i="1"/>
  <c r="F64" i="1"/>
  <c r="E64" i="1"/>
  <c r="F63" i="1"/>
  <c r="E63" i="1"/>
  <c r="F62" i="1"/>
  <c r="E62" i="1"/>
  <c r="F61" i="1"/>
  <c r="E61" i="1"/>
  <c r="F60" i="1"/>
  <c r="E60" i="1"/>
  <c r="F59" i="1"/>
  <c r="E59" i="1"/>
  <c r="F58" i="1"/>
  <c r="E58" i="1"/>
  <c r="F57" i="1"/>
  <c r="E57" i="1"/>
  <c r="F56" i="1"/>
  <c r="E56" i="1"/>
  <c r="F55" i="1"/>
  <c r="E55" i="1"/>
  <c r="F54" i="1"/>
  <c r="E54" i="1"/>
  <c r="F53" i="1"/>
  <c r="E53" i="1"/>
  <c r="F52" i="1"/>
  <c r="E52" i="1"/>
  <c r="F51" i="1"/>
  <c r="E51" i="1"/>
  <c r="F50" i="1"/>
  <c r="E50" i="1"/>
  <c r="F49" i="1"/>
  <c r="E49" i="1"/>
  <c r="F48" i="1"/>
  <c r="E48" i="1"/>
  <c r="F47" i="1"/>
  <c r="E47" i="1"/>
  <c r="F46" i="1"/>
  <c r="E46" i="1"/>
  <c r="F45" i="1"/>
  <c r="E45" i="1"/>
  <c r="F44" i="1"/>
  <c r="E44" i="1"/>
  <c r="F43" i="1"/>
  <c r="E43" i="1"/>
  <c r="F42" i="1"/>
  <c r="E42" i="1"/>
  <c r="F41" i="1"/>
  <c r="E41" i="1"/>
  <c r="F40" i="1"/>
  <c r="E40" i="1"/>
  <c r="F39" i="1"/>
  <c r="E39" i="1"/>
  <c r="F38" i="1"/>
  <c r="E38" i="1"/>
  <c r="F37" i="1"/>
  <c r="E37" i="1"/>
  <c r="F36" i="1"/>
  <c r="E36" i="1"/>
  <c r="F35" i="1"/>
  <c r="E35" i="1"/>
  <c r="F34" i="1"/>
  <c r="E34" i="1"/>
  <c r="F33" i="1"/>
  <c r="E33" i="1"/>
  <c r="F32" i="1"/>
  <c r="E32" i="1"/>
  <c r="F31" i="1"/>
  <c r="E31" i="1"/>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alcChain>
</file>

<file path=xl/sharedStrings.xml><?xml version="1.0" encoding="utf-8"?>
<sst xmlns="http://schemas.openxmlformats.org/spreadsheetml/2006/main" count="3950" uniqueCount="1760">
  <si>
    <t>Book Id</t>
  </si>
  <si>
    <t>Title</t>
  </si>
  <si>
    <t>Author</t>
  </si>
  <si>
    <t>ISBN</t>
  </si>
  <si>
    <t>ISBN13</t>
  </si>
  <si>
    <t>My Rating</t>
  </si>
  <si>
    <t>Average Rating</t>
  </si>
  <si>
    <t>Publisher</t>
  </si>
  <si>
    <t>Binding</t>
  </si>
  <si>
    <t>Number of Pages</t>
  </si>
  <si>
    <t>Year Published</t>
  </si>
  <si>
    <t>Original Publication Year</t>
  </si>
  <si>
    <t>Date Read</t>
  </si>
  <si>
    <t>Date Added</t>
  </si>
  <si>
    <t>Bookshelves</t>
  </si>
  <si>
    <t>My Review</t>
  </si>
  <si>
    <t>Spoiler</t>
  </si>
  <si>
    <t>Private Notes</t>
  </si>
  <si>
    <t>Read Count</t>
  </si>
  <si>
    <t>Recommended For</t>
  </si>
  <si>
    <t>Recommended By</t>
  </si>
  <si>
    <t>Owned Copies</t>
  </si>
  <si>
    <t>Original Purchase Date</t>
  </si>
  <si>
    <t>Original Purchase Location</t>
  </si>
  <si>
    <t>Condition</t>
  </si>
  <si>
    <t>Condition Description</t>
  </si>
  <si>
    <t>BCID</t>
  </si>
  <si>
    <t>The New Bill James Historical Baseball Abstract</t>
  </si>
  <si>
    <t>The Spectral Arctic: A History of Ghosts and Dreams in Polar Exploration</t>
  </si>
  <si>
    <t>The Metropolitan Man</t>
  </si>
  <si>
    <t>The Merchant and the Alchemist's Gate</t>
  </si>
  <si>
    <t>Sapiens: A Brief History of Humankind</t>
  </si>
  <si>
    <t>The Queen's Gambit</t>
  </si>
  <si>
    <t>The Revenant</t>
  </si>
  <si>
    <t>Splinter Cell (Tom Clancy's Splinter Cell, #1)</t>
  </si>
  <si>
    <t>The Pattern Seekers: How Autism Drives Human Invention</t>
  </si>
  <si>
    <t>Animal Behavior: An Evolutionary Approach</t>
  </si>
  <si>
    <t>The Martyrdom of Man</t>
  </si>
  <si>
    <t>Around the World on a Bicycle</t>
  </si>
  <si>
    <t>Gravity's Rainbow</t>
  </si>
  <si>
    <t>Infinite Jest</t>
  </si>
  <si>
    <t>2666</t>
  </si>
  <si>
    <t>The Culture of Narcissism: American Life in An Age of Diminishing Expectations</t>
  </si>
  <si>
    <t>One Flew Over the Cuckoo's Nest</t>
  </si>
  <si>
    <t>Medical Monopoly: Intellectual Property Rights and the Origins of the Modern Pharmaceutical Industry</t>
  </si>
  <si>
    <t>When to Rob a Bank</t>
  </si>
  <si>
    <t>Secondhand Time: The Last of the Soviets</t>
  </si>
  <si>
    <t>Cain's Jawbone</t>
  </si>
  <si>
    <t>The Magic Mountain</t>
  </si>
  <si>
    <t>Atomic Habits: An Easy &amp; Proven Way to Build Good Habits &amp; Break Bad Ones</t>
  </si>
  <si>
    <t>Active Measures: The Secret History of Disinformation and Political Warfare</t>
  </si>
  <si>
    <t>A Void</t>
  </si>
  <si>
    <t>Training With Cerutty</t>
  </si>
  <si>
    <t>History Has Begun</t>
  </si>
  <si>
    <t>Regret: The Persistence of the Possible</t>
  </si>
  <si>
    <t>Don't Sleep, There Are Snakes: Life and Language in the Amazonian Jungle</t>
  </si>
  <si>
    <t>Hidden Valley Road: Inside the Mind of an American Family</t>
  </si>
  <si>
    <t>SEAL Team Six: Memoirs of an Elite Navy SEAL Sniper</t>
  </si>
  <si>
    <t>Brothers in Arms: The Kennedys, the Castros, and the Politics of Murder</t>
  </si>
  <si>
    <t>Cosmos</t>
  </si>
  <si>
    <t>A Brief History of Time</t>
  </si>
  <si>
    <t>The Information: A History, a Theory, a Flood</t>
  </si>
  <si>
    <t>Moonwalking with Einstein: The Art and Science of Remembering Everything</t>
  </si>
  <si>
    <t>A Short History of Nearly Everything</t>
  </si>
  <si>
    <t>The Contested Plains: Indians, Goldseekers, and the Rush to Colorado</t>
  </si>
  <si>
    <t>The Greatest Show on Earth: The Evidence for Evolution</t>
  </si>
  <si>
    <t>The Warrior Elite: The Forging of SEAL Class 228</t>
  </si>
  <si>
    <t>The 48 Laws of Power</t>
  </si>
  <si>
    <t>Lions of Kandahar: The Story of a Fight Against All Odds</t>
  </si>
  <si>
    <t>Inside Delta Force: The Story of America's Elite Counterterrorist Unit</t>
  </si>
  <si>
    <t>Relax &amp; Win: Championship Performance in Whatever You Do</t>
  </si>
  <si>
    <t>Outliers: The Story of Success</t>
  </si>
  <si>
    <t>Anger: Wisdom for Cooling the Flames</t>
  </si>
  <si>
    <t>Man's Search for Meaning</t>
  </si>
  <si>
    <t>The Search</t>
  </si>
  <si>
    <t>First In: An Insider's Account of How the CIA Spearheaded the War on Terror in Afghanistan</t>
  </si>
  <si>
    <t>America the Beautiful: Rediscovering What Made This Nation Great</t>
  </si>
  <si>
    <t>Isaac Newton</t>
  </si>
  <si>
    <t>The Scarlet Letter</t>
  </si>
  <si>
    <t>The Stranger</t>
  </si>
  <si>
    <t>Crime and Punishment</t>
  </si>
  <si>
    <t>Demons</t>
  </si>
  <si>
    <t>Fast Food Nation: The Dark Side of the All-American Meal</t>
  </si>
  <si>
    <t>Meditations</t>
  </si>
  <si>
    <t>The Notebooks of Leonardo Davinci</t>
  </si>
  <si>
    <t>The Power and the Glory</t>
  </si>
  <si>
    <t>To a God Unknown</t>
  </si>
  <si>
    <t>1984</t>
  </si>
  <si>
    <t>Lord of the Flies</t>
  </si>
  <si>
    <t>Wooden: A Lifetime of Observations and Reflections On and Off the Court</t>
  </si>
  <si>
    <t>The Tao of Pooh</t>
  </si>
  <si>
    <t>Dark Pools: The Rise of Artificially Intelligent Trading Machines and the Looming Threat to Wall Street</t>
  </si>
  <si>
    <t>The Hitchhiker's Guide to the Galaxy (Hitchhiker's Guide to the Galaxy, #1)</t>
  </si>
  <si>
    <t>The Black Swan: The Impact of the Highly Improbable</t>
  </si>
  <si>
    <t>Antifragile: Things That Gain from Disorder</t>
  </si>
  <si>
    <t>Fooled by Randomness: The Hidden Role of Chance in Life and in the Markets</t>
  </si>
  <si>
    <t>Gates of Fire</t>
  </si>
  <si>
    <t>The Chosen (Reuven Malther #1)</t>
  </si>
  <si>
    <t>Childhood's End</t>
  </si>
  <si>
    <t>The Alchemist</t>
  </si>
  <si>
    <t>Black Hawk Down: A Story of Modern War</t>
  </si>
  <si>
    <t>The Tracker</t>
  </si>
  <si>
    <t>The Operator: Firing the Shots that Killed Osama bin Laden and My Years as a SEAL Team Warrior</t>
  </si>
  <si>
    <t>Phineas Gage: A Gruesome but True Story About Brain Science</t>
  </si>
  <si>
    <t>Gödel, Escher, Bach: An Eternal Golden Braid</t>
  </si>
  <si>
    <t>The Pentagon's Brain: An Uncensored History of DARPA, America's Top-Secret Military Research Agency</t>
  </si>
  <si>
    <t>Cold Zero: Inside the FBI  Hostage Rescue Team</t>
  </si>
  <si>
    <t>Rainbow Six (John Clark, #2; Jack Ryan Universe, #10)</t>
  </si>
  <si>
    <t>Without Remorse (John Clark, #1; Jack Ryan Universe Publication Order #6)</t>
  </si>
  <si>
    <t>Mathematics and the Physical World</t>
  </si>
  <si>
    <t>Introduction to Artificial Intelligence</t>
  </si>
  <si>
    <t>The Art of Intelligence</t>
  </si>
  <si>
    <t>Tools of Titans: The Tactics, Routines, and Habits of Billionaires, Icons, and World-Class Performers</t>
  </si>
  <si>
    <t>The Book Thief</t>
  </si>
  <si>
    <t>Code: The Hidden Language of Computer Hardware and Software</t>
  </si>
  <si>
    <t>A Man for All Markets</t>
  </si>
  <si>
    <t>The Brothers: John Foster Dulles, Allen Dulles &amp; Their Secret World War</t>
  </si>
  <si>
    <t>The Smartest Guys in the Room: The Amazing Rise and Scandalous Fall of Enron</t>
  </si>
  <si>
    <t>Left of Boom: How a Young CIA Case Officer Penetrated the Taliban and Al-Qaeda</t>
  </si>
  <si>
    <t>Being Mortal: Medicine and What Matters in the End</t>
  </si>
  <si>
    <t>The Way of the Knife: The CIA, a Secret Army, and a War at the Ends of the Earth</t>
  </si>
  <si>
    <t>The Lost City of the Monkey God: A True Story</t>
  </si>
  <si>
    <t>A Separate Peace</t>
  </si>
  <si>
    <t>Mere Christianity</t>
  </si>
  <si>
    <t>Anna Karenina</t>
  </si>
  <si>
    <t>Heart of Darkness</t>
  </si>
  <si>
    <t>Black Flags: The Rise of ISIS</t>
  </si>
  <si>
    <t>The Road</t>
  </si>
  <si>
    <t>Things Fall Apart (The African Trilogy, #1)</t>
  </si>
  <si>
    <t>The Kite Runner</t>
  </si>
  <si>
    <t>American Kingpin: The Epic Hunt for the Criminal Mastermind Behind the Silk Road</t>
  </si>
  <si>
    <t>Fair Play: The Moral Dilemmas of Spying</t>
  </si>
  <si>
    <t>The Brothers Karamazov</t>
  </si>
  <si>
    <t>The Old Man and the Sea</t>
  </si>
  <si>
    <t>Midnight in Chernobyl: The Untold Story of the World's Greatest Nuclear Disaster</t>
  </si>
  <si>
    <t>A Small Corner of Hell: Dispatches from Chechnya</t>
  </si>
  <si>
    <t>The Diary of a Young Girl</t>
  </si>
  <si>
    <t>Surprise, Kill, Vanish: The Secret History Of CIA Paramilitary Armies, Operators, And Assassins</t>
  </si>
  <si>
    <t>The Adventures of Sherlock Holmes</t>
  </si>
  <si>
    <t>The Fountainhead</t>
  </si>
  <si>
    <t>Atlas Shrugged</t>
  </si>
  <si>
    <t>Anthem</t>
  </si>
  <si>
    <t>Dracula</t>
  </si>
  <si>
    <t>How to Become a Straight-A Student</t>
  </si>
  <si>
    <t>The Gatekeepers: How the White House Chiefs of Staff Define Every Presidency</t>
  </si>
  <si>
    <t>Blood Meridian, or the Evening Redness in the West</t>
  </si>
  <si>
    <t>City of Thieves</t>
  </si>
  <si>
    <t>An American Sickness: How Healthcare Became Big Business and How You Can Take It Back</t>
  </si>
  <si>
    <t>Fearless: The Undaunted Courage and Ultimate Sacrifice of Navy SEAL Team SIX Operator Adam Brown</t>
  </si>
  <si>
    <t>How Google Works</t>
  </si>
  <si>
    <t>The Trial</t>
  </si>
  <si>
    <t>The House of the Dead</t>
  </si>
  <si>
    <t>Notes from Underground</t>
  </si>
  <si>
    <t>The Richest Man in Babylon</t>
  </si>
  <si>
    <t>Animal Farm</t>
  </si>
  <si>
    <t>The Quiet American</t>
  </si>
  <si>
    <t>Factfulness: Ten Reasons We're Wrong About the World – and Why Things Are Better Than You Think</t>
  </si>
  <si>
    <t>To Kill a Mockingbird</t>
  </si>
  <si>
    <t>The Island of Doctor Moreau</t>
  </si>
  <si>
    <t>Casino Royale (James Bond, #1)</t>
  </si>
  <si>
    <t>A Long Way Gone: Memoirs of a Boy Soldier</t>
  </si>
  <si>
    <t>The Hobbit, or There and Back Again</t>
  </si>
  <si>
    <t>Lost Horizon</t>
  </si>
  <si>
    <t>The Pearl</t>
  </si>
  <si>
    <t>The Mysterious Island (Extraordinary Voyages, #12)</t>
  </si>
  <si>
    <t>Twenty Thousand Leagues Under the Sea (Extraordinary Voyages, #6)</t>
  </si>
  <si>
    <t>The Notebook of Leonardo Da Vinci</t>
  </si>
  <si>
    <t>On Killing: The Psychological Cost of Learning to Kill in War and Society</t>
  </si>
  <si>
    <t>Born to Run: A Hidden Tribe, Superathletes, and the Greatest Race the World Has Never Seen</t>
  </si>
  <si>
    <t>The Boy in the Striped Pajamas</t>
  </si>
  <si>
    <t>Fahrenheit 451</t>
  </si>
  <si>
    <t>Tactical Barbell II: Conditioning</t>
  </si>
  <si>
    <t>Tactical Barbell: Definitive Strength Training for the Operational Athlete</t>
  </si>
  <si>
    <t>A Tale of Two Cities</t>
  </si>
  <si>
    <t>Ficciones</t>
  </si>
  <si>
    <t>The Tartar Steppe</t>
  </si>
  <si>
    <t>A Study in Scarlet (Sherlock Holmes, #1)</t>
  </si>
  <si>
    <t>The Hound of the Baskervilles (Sherlock Holmes, #5)</t>
  </si>
  <si>
    <t>The Essential Calvin and Hobbes: A Calvin and Hobbes Treasury</t>
  </si>
  <si>
    <t>A Balcony in the Forest</t>
  </si>
  <si>
    <t>The Eye of the World (The Wheel of Time, #1)</t>
  </si>
  <si>
    <t>The Devil in a Forest</t>
  </si>
  <si>
    <t>Castleview</t>
  </si>
  <si>
    <t>The Last Samurai</t>
  </si>
  <si>
    <t>Where Is My Flying Car?: A Memoir of Future Past</t>
  </si>
  <si>
    <t>Wizard's First Rule (Sword of Truth, #1)</t>
  </si>
  <si>
    <t>The Book of Disquiet</t>
  </si>
  <si>
    <t>Casebook for the Foundation: A Great American Secret</t>
  </si>
  <si>
    <t>Averno</t>
  </si>
  <si>
    <t>The Wild Iris</t>
  </si>
  <si>
    <t>Coming Apart: The State of White America, 1960-2010</t>
  </si>
  <si>
    <t>Bowling Alone: The Collapse and Revival of American Community</t>
  </si>
  <si>
    <t>Beowulf</t>
  </si>
  <si>
    <t>The Time Traveler's Wife</t>
  </si>
  <si>
    <t>A Christmas Carol</t>
  </si>
  <si>
    <t>The Catcher in the Rye</t>
  </si>
  <si>
    <t>The Perks of Being a Wallflower</t>
  </si>
  <si>
    <t>Wuthering Heights</t>
  </si>
  <si>
    <t>The Picture of Dorian Gray</t>
  </si>
  <si>
    <t>Jane Eyre</t>
  </si>
  <si>
    <t>The Bell Jar</t>
  </si>
  <si>
    <t>The Great Gatsby</t>
  </si>
  <si>
    <t>Pride and Prejudice</t>
  </si>
  <si>
    <t>Why Evolution Is True</t>
  </si>
  <si>
    <t>The Death of Ivan Ilyich and Confession</t>
  </si>
  <si>
    <t>The Power Broker: Robert Moses and the Fall of New York</t>
  </si>
  <si>
    <t>Grit: The Power of Passion and Perseverance</t>
  </si>
  <si>
    <t>Becoming a Supple Leopard: The Ultimate Guide to Resolving Pain, Preventing Injury, and Optimizing Athletic Performance</t>
  </si>
  <si>
    <t>The Bell Curve: Intelligence and Class Structure in American Life</t>
  </si>
  <si>
    <t>The Gift of Fear: Survival Signals That Protect Us from Violence</t>
  </si>
  <si>
    <t>The Other Side of History : Daily Life in the Ancient World</t>
  </si>
  <si>
    <t>The World Aflame: The Long War 1914 - 1945</t>
  </si>
  <si>
    <t>The Last of the Mountain Men: The True Story of an Idaho Solitary</t>
  </si>
  <si>
    <t>The Last of the Mountain Men</t>
  </si>
  <si>
    <t>Virtual Cities: An Atlas  Exploration of Video Game Cities</t>
  </si>
  <si>
    <t>Zen and the Art of Motorcycle Maintenance: An Inquiry Into Values (Phaedrus, #1)</t>
  </si>
  <si>
    <t>Red Sparrow (Red Sparrow Trilogy, #1)</t>
  </si>
  <si>
    <t>Feeling Good: The New Mood Therapy</t>
  </si>
  <si>
    <t>88 Days to Kandahar: A CIA Diary</t>
  </si>
  <si>
    <t>Beyond Good and Evil</t>
  </si>
  <si>
    <t>Wild Bill Donovan: The Spymaster Who Created the OSS and Modern American Espionage</t>
  </si>
  <si>
    <t>You Can't Be Neutral on a Moving Train: A Personal History of Our Times</t>
  </si>
  <si>
    <t>Kon-Tiki</t>
  </si>
  <si>
    <t>The Accidental Superpower: The Next Generation of American Preeminence and the Coming Global Disorder</t>
  </si>
  <si>
    <t>Science Fictions: The Epidemic of Fraud, Bias, Negligence and Hype in Science</t>
  </si>
  <si>
    <t>Death and the Dervish</t>
  </si>
  <si>
    <t>The Ape that Understood the Universe</t>
  </si>
  <si>
    <t>A Visit to the Monastery of La Trappe in 1817 With Notes Taken During a Tour Through Le Perche, Normandy, Bretagne, Poitou, Anjou, Le Bocage, Touraine, ... Engravings, from Drawings Made on the Spot</t>
  </si>
  <si>
    <t>The Unicorn's Shadow: Combating the Dangerous Myths that Hold Back Startups, Founders, and Investors</t>
  </si>
  <si>
    <t>Cognitive Therapy of Depression</t>
  </si>
  <si>
    <t>Cognitive Therapy: Basics and Beyond</t>
  </si>
  <si>
    <t>Nanosystems: Molecular Machinery, Manufacturing, and Computation</t>
  </si>
  <si>
    <t>Moral Mazes: The World of Corporate Managers</t>
  </si>
  <si>
    <t>Vagabonding: An Uncommon Guide to the Art of Long-Term World Travel</t>
  </si>
  <si>
    <t>On The Shortness Of Life</t>
  </si>
  <si>
    <t>The Witness</t>
  </si>
  <si>
    <t>Elegy for Kosovo: Stories</t>
  </si>
  <si>
    <t>The Count of Monte Cristo</t>
  </si>
  <si>
    <t>Harry Potter and the Methods of Rationality</t>
  </si>
  <si>
    <t>Unsong</t>
  </si>
  <si>
    <t>Hunting the Jackal: A Special Forces and CIA Soldier's Fifty Years on the Frontlines of the War Against Terrorism</t>
  </si>
  <si>
    <t xml:space="preserve">The Brothers Ashkenazi </t>
  </si>
  <si>
    <t>Of Human Bondage</t>
  </si>
  <si>
    <t>The Idiot</t>
  </si>
  <si>
    <t>Robinson Crusoe (Robinson Crusoe #1)</t>
  </si>
  <si>
    <t>The Arabian Nights</t>
  </si>
  <si>
    <t>Gone with the Wind</t>
  </si>
  <si>
    <t>An Introduction to Statistical Learning: With Applications in R</t>
  </si>
  <si>
    <t>Just 2 Seconds</t>
  </si>
  <si>
    <t>The Hunchback of Notre-Dame</t>
  </si>
  <si>
    <t>The Square and the Tower: Networks and Power, from the Freemasons to Facebook</t>
  </si>
  <si>
    <t>War and Peace</t>
  </si>
  <si>
    <t>The Truth About Employee Engagement: A Fable About Addressing the Three Root Causes of Job Misery</t>
  </si>
  <si>
    <t>Trainspotting</t>
  </si>
  <si>
    <t>The Fellowship of the Ring (The Lord of the Rings, #1)</t>
  </si>
  <si>
    <t>The Sexual Cycle of Human Warfare</t>
  </si>
  <si>
    <t>Afghanistan: A Cultural and Political History</t>
  </si>
  <si>
    <t>Le Ton beau de Marot: In Praise of the Music of Language</t>
  </si>
  <si>
    <t>In Xanadu: A Quest</t>
  </si>
  <si>
    <t>Back Mechanic</t>
  </si>
  <si>
    <t>Sleights of Mind: What the Neuroscience of Magic Reveals about Our Everyday Deceptions</t>
  </si>
  <si>
    <t>Whiz Mob: A Correlation of the Technical Argot of Pickpockets with Their Behavior Pattern</t>
  </si>
  <si>
    <t>Rats: Observations on the History  Habitat of the City's Most Unwanted Inhabitants</t>
  </si>
  <si>
    <t>Special Forces Berlin: Clandestine Cold War Operations of the U.S. Army's Elite, 1956-1990</t>
  </si>
  <si>
    <t>The Road to Oxiana</t>
  </si>
  <si>
    <t>Gone Girl</t>
  </si>
  <si>
    <t>Letters from a Stoic</t>
  </si>
  <si>
    <t>The Park Chung Hee Era: The Transformation of South Korea</t>
  </si>
  <si>
    <t>Tactical Barbell: Mass Protocol</t>
  </si>
  <si>
    <t>The Story of 0: Prostitutes and Other Good-For-Nothings in the Renaissance</t>
  </si>
  <si>
    <t>The Charterhouse of Parma</t>
  </si>
  <si>
    <t>An Inquiry into the Nature and Causes of the Wealth of Nations</t>
  </si>
  <si>
    <t>Misbehaving: The Making of Behavioral Economics</t>
  </si>
  <si>
    <t>Democracy in America</t>
  </si>
  <si>
    <t>Death of a Hero</t>
  </si>
  <si>
    <t>The Big Short: Inside the Doomsday Machine</t>
  </si>
  <si>
    <t>Flash Boys: A Wall Street Revolt</t>
  </si>
  <si>
    <t>Boys Adrift: The Five Factors Driving the Growing Epidemic of Unmotivated Boys and Underachieving Young Men</t>
  </si>
  <si>
    <t>Reflections in a Silver Spoon: A Memoir</t>
  </si>
  <si>
    <t>The Stuff of Thought: Language as a Window into Human Nature</t>
  </si>
  <si>
    <t>One Hundred Years of Solitude</t>
  </si>
  <si>
    <t>Valkyrie: The Story of the Plot to Kill Hitler, by Its Last Member</t>
  </si>
  <si>
    <t>Peak: Secrets from the New Science of Expertise</t>
  </si>
  <si>
    <t>Civilization and Capitalism 15th-18th Century, Vol. 3: The Perspective of the World</t>
  </si>
  <si>
    <t>Civilization and Capitalism 15th-18th Century, Vol 2: The Wheels of Commerce</t>
  </si>
  <si>
    <t>Civilization and Capitalism 15th-18th Century, Vol. 1: The Structures of Everyday Life</t>
  </si>
  <si>
    <t>Super Thinking: The Big Book of Mental Models</t>
  </si>
  <si>
    <t>The Lathe of Heaven</t>
  </si>
  <si>
    <t>"Surely You're Joking, Mr. Feynman!": Adventures of a Curious Character</t>
  </si>
  <si>
    <t>Mountaineering Essays</t>
  </si>
  <si>
    <t>A Primate's Memoir: A Neuroscientist's Unconventional Life Among the Baboons</t>
  </si>
  <si>
    <t>Life of Pi</t>
  </si>
  <si>
    <t>Doing the Best I Can: Fatherhood in the Inner City</t>
  </si>
  <si>
    <t>The Art of Doing Science and Engineering: Learning to Learn</t>
  </si>
  <si>
    <t>Open Borders: The Science and Ethics of Immigration</t>
  </si>
  <si>
    <t>A Conflict of Visions: Ideological Origins of Political Struggles</t>
  </si>
  <si>
    <t>Virtue Signaling: Essays on Darwinian Politics &amp; Free Speech</t>
  </si>
  <si>
    <t>My Journey to Lhasa: The Classic Story of the Only Western Woman Who Succeeded in Entering the Forbidden City</t>
  </si>
  <si>
    <t>Without You, There Is No Us: My Time with the Sons of North Korea's Elite</t>
  </si>
  <si>
    <t>The Easy Way to Stop Smoking: Join the Millions Who Have Become Nonsmokers Using the Easyway Method</t>
  </si>
  <si>
    <t>Killer Elite: The Inside Story of America's Most Secret Special Operations Team</t>
  </si>
  <si>
    <t>In the Beginning...Was the Command Line</t>
  </si>
  <si>
    <t>Jarhead : A Marine's Chronicle of the Gulf War and Other Battles</t>
  </si>
  <si>
    <t>100 Suns</t>
  </si>
  <si>
    <t>The Better Angels of Our Nature: Why Violence Has Declined</t>
  </si>
  <si>
    <t>Raise a Genius!</t>
  </si>
  <si>
    <t>Travels in Siberia</t>
  </si>
  <si>
    <t>Return of a King: The Battle for Afghanistan</t>
  </si>
  <si>
    <t>City of Djinns: A Year in Delhi</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</si>
  <si>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</si>
  <si>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</si>
  <si>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</si>
  <si>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</si>
  <si>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</si>
  <si>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</si>
  <si>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</si>
  <si>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</si>
  <si>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</si>
  <si>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</si>
  <si>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</si>
  <si>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</si>
  <si>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</si>
  <si>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</si>
  <si>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</si>
  <si>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</si>
  <si>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</si>
  <si>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</si>
  <si>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</si>
  <si>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</si>
  <si>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</si>
  <si>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</si>
  <si>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Extreme Alpinism: Climbing Light, High, and Fast</t>
  </si>
  <si>
    <t>Violence of Action: The Untold Stories of the 75th Ranger Regiment in the War on Terror</t>
  </si>
  <si>
    <t>From Eros to Gaia (Science)</t>
  </si>
  <si>
    <t>The Last Chronicle of Barset</t>
  </si>
  <si>
    <t>The Small House at Allington</t>
  </si>
  <si>
    <t>Framley Parsonage (Chronicles of Barsetshire #4)</t>
  </si>
  <si>
    <t>Dr. Thorne</t>
  </si>
  <si>
    <t>The Warden</t>
  </si>
  <si>
    <t>Barchester Towers</t>
  </si>
  <si>
    <t>Death of a Salesman</t>
  </si>
  <si>
    <t>Much Ado About Nothing</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</si>
  <si>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</si>
  <si>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</si>
  <si>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</si>
  <si>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</si>
  <si>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</si>
  <si>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</si>
  <si>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</si>
  <si>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</si>
  <si>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</si>
  <si>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</si>
  <si>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</si>
  <si>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</si>
  <si>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</si>
  <si>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</si>
  <si>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</si>
  <si>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</si>
  <si>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</si>
  <si>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</si>
  <si>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Prospect of Immortality</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</si>
  <si>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</si>
  <si>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</si>
  <si>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</si>
  <si>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</si>
  <si>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</si>
  <si>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</si>
  <si>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</si>
  <si>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</si>
  <si>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</si>
  <si>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</si>
  <si>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</si>
  <si>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</si>
  <si>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</si>
  <si>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</si>
  <si>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</si>
  <si>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</si>
  <si>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</si>
  <si>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</si>
  <si>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</si>
  <si>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</si>
  <si>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</si>
  <si>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</si>
  <si>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</si>
  <si>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</si>
  <si>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</si>
  <si>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</si>
  <si>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</si>
  <si>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</si>
  <si>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</si>
  <si>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</si>
  <si>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</si>
  <si>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</si>
  <si>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</si>
  <si>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</si>
  <si>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</si>
  <si>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</si>
  <si>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</si>
  <si>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</si>
  <si>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</si>
  <si>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</si>
  <si>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</si>
  <si>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</si>
  <si>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</si>
  <si>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Goldman Sachs: The Culture Of Success</t>
  </si>
  <si>
    <t>Cartridges of the World: A Complete and Illustrated Reference for Over 1500 Cartridges</t>
  </si>
  <si>
    <t>Around the World in Eighty Days</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</si>
  <si>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</si>
  <si>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</si>
  <si>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</si>
  <si>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</si>
  <si>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</si>
  <si>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</si>
  <si>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</si>
  <si>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</si>
  <si>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</si>
  <si>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</si>
  <si>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</si>
  <si>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</si>
  <si>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</si>
  <si>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</si>
  <si>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</si>
  <si>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</si>
  <si>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</si>
  <si>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</si>
  <si>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</si>
  <si>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Uncle Tom's Cabin</t>
  </si>
  <si>
    <t>Of Mice and Men</t>
  </si>
  <si>
    <t>2001: A Space Odyssey (Space Odyssey, #1)</t>
  </si>
  <si>
    <t>The Martian</t>
  </si>
  <si>
    <t>The Jungle Book</t>
  </si>
  <si>
    <t>Game Changer: AlphaZero's Groundbreaking Chess Strategies and the Promise of AI</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</si>
  <si>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</si>
  <si>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</si>
  <si>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</si>
  <si>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</si>
  <si>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</si>
  <si>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</si>
  <si>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</si>
  <si>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</si>
  <si>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</si>
  <si>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</si>
  <si>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</si>
  <si>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</si>
  <si>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</si>
  <si>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</si>
  <si>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</si>
  <si>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</si>
  <si>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</si>
  <si>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</si>
  <si>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</si>
  <si>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</si>
  <si>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</si>
  <si>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</si>
  <si>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</si>
  <si>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</si>
  <si>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</si>
  <si>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Educated</t>
  </si>
  <si>
    <t>Guns, Germs, and Steel: The Fates of Human Societies</t>
  </si>
  <si>
    <t>Freakonomics: A Rogue Economist Explores the Hidden Side of Everything</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</si>
  <si>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</si>
  <si>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</si>
  <si>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</si>
  <si>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</si>
  <si>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</si>
  <si>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</si>
  <si>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</si>
  <si>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</si>
  <si>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</si>
  <si>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</si>
  <si>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</si>
  <si>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</si>
  <si>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</si>
  <si>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</si>
  <si>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</si>
  <si>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</si>
  <si>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</si>
  <si>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</si>
  <si>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</si>
  <si>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</si>
  <si>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</si>
  <si>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</si>
  <si>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</si>
  <si>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</si>
  <si>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</si>
  <si>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</si>
  <si>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</si>
  <si>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</si>
  <si>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</si>
  <si>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</si>
  <si>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</si>
  <si>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</si>
  <si>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</si>
  <si>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</si>
  <si>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</si>
  <si>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</si>
  <si>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</si>
  <si>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</si>
  <si>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</si>
  <si>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</si>
  <si>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</si>
  <si>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</si>
  <si>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</si>
  <si>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</si>
  <si>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</si>
  <si>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</si>
  <si>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</si>
  <si>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</si>
  <si>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</si>
  <si>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</si>
  <si>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</si>
  <si>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 Jack Ryan Universe, #6)</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</si>
  <si>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</si>
  <si>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</si>
  <si>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</si>
  <si>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</si>
  <si>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</si>
  <si>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</si>
  <si>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</si>
  <si>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</si>
  <si>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</si>
  <si>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</si>
  <si>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</si>
  <si>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</si>
  <si>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</si>
  <si>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</si>
  <si>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</si>
  <si>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</si>
  <si>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</si>
  <si>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</si>
  <si>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</si>
  <si>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</si>
  <si>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</si>
  <si>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</si>
  <si>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</si>
  <si>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</si>
  <si>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</si>
  <si>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</si>
  <si>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</si>
  <si>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</si>
  <si>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</si>
  <si>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</si>
  <si>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</si>
  <si>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</si>
  <si>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</si>
  <si>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</si>
  <si>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</si>
  <si>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</si>
  <si>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</si>
  <si>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</si>
  <si>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</si>
  <si>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</si>
  <si>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</si>
  <si>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</si>
  <si>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</si>
  <si>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</si>
  <si>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</si>
  <si>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</si>
  <si>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</si>
  <si>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</si>
  <si>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</si>
  <si>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</si>
  <si>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</si>
  <si>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</si>
  <si>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</si>
  <si>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</si>
  <si>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</si>
  <si>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</si>
  <si>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</si>
  <si>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</si>
  <si>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</si>
  <si>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</si>
  <si>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</si>
  <si>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</si>
  <si>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</si>
  <si>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</si>
  <si>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</si>
  <si>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</si>
  <si>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</si>
  <si>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</si>
  <si>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</si>
  <si>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</si>
  <si>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</si>
  <si>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</si>
  <si>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</si>
  <si>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</si>
  <si>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</si>
  <si>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</si>
  <si>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</si>
  <si>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</si>
  <si>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</si>
  <si>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</si>
  <si>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</si>
  <si>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</si>
  <si>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</si>
  <si>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</si>
  <si>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</si>
  <si>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</si>
  <si>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</si>
  <si>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</si>
  <si>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</si>
  <si>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</si>
  <si>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</si>
  <si>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</si>
  <si>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</si>
  <si>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</si>
  <si>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</si>
  <si>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</si>
  <si>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</si>
  <si>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</si>
  <si>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</si>
  <si>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</si>
  <si>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</si>
  <si>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</si>
  <si>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</si>
  <si>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</si>
  <si>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</si>
  <si>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</si>
  <si>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</si>
  <si>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</si>
  <si>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</si>
  <si>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</si>
  <si>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</si>
  <si>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</si>
  <si>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</si>
  <si>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</si>
  <si>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</si>
  <si>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</si>
  <si>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</si>
  <si>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</si>
  <si>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</si>
  <si>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</si>
  <si>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</si>
  <si>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</si>
  <si>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</si>
  <si>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</si>
  <si>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</si>
  <si>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</si>
  <si>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</si>
  <si>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</si>
  <si>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</si>
  <si>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</si>
  <si>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</si>
  <si>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</si>
  <si>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</si>
  <si>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</si>
  <si>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Gathering Blue (The Giver, #2)</t>
  </si>
  <si>
    <t>Messenger (The Giver, #3)</t>
  </si>
  <si>
    <t>I Am the Messenger</t>
  </si>
  <si>
    <t>The House of Twenty Thousand Books</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</si>
  <si>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</si>
  <si>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</si>
  <si>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</si>
  <si>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</si>
  <si>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</si>
  <si>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</si>
  <si>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</si>
  <si>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The Giver (The Giver, #1)</t>
  </si>
  <si>
    <t>Patriot Games (Jack Ryan, #1)</t>
  </si>
  <si>
    <t>The Fourth Dimension: A Guided Tour of the Higher Universes</t>
  </si>
  <si>
    <t>A Midsummer Night's Dream</t>
  </si>
  <si>
    <t>The Grapes of Wrath</t>
  </si>
  <si>
    <t>East of Eden</t>
  </si>
  <si>
    <t>A Lesson Before Dying</t>
  </si>
  <si>
    <t>The Wisdom of Crowds</t>
  </si>
  <si>
    <t>The Art of Deception: Controlling the Human Element of Security</t>
  </si>
  <si>
    <t>Failing Forward: Turning Mistakes Into Stepping Stones for Success</t>
  </si>
  <si>
    <t>Bill James</t>
  </si>
  <si>
    <t>Shane McCorristine</t>
  </si>
  <si>
    <t>Alexander Wales</t>
  </si>
  <si>
    <t>Ted Chiang</t>
  </si>
  <si>
    <t>Yuval Noah Harari</t>
  </si>
  <si>
    <t>Walter Tevis</t>
  </si>
  <si>
    <t>Michael Punke</t>
  </si>
  <si>
    <t>David  Michaels</t>
  </si>
  <si>
    <t>Simon Baron-Cohen</t>
  </si>
  <si>
    <t>John Alcock</t>
  </si>
  <si>
    <t>William Winwood Reade</t>
  </si>
  <si>
    <t>Fred A. Birchmore</t>
  </si>
  <si>
    <t>Thomas Pynchon</t>
  </si>
  <si>
    <t>David Foster Wallace</t>
  </si>
  <si>
    <t>Roberto Bolaño</t>
  </si>
  <si>
    <t>Christopher Lasch</t>
  </si>
  <si>
    <t>Ken Kesey</t>
  </si>
  <si>
    <t>Joseph M. Gabriel</t>
  </si>
  <si>
    <t>Steven D. Levitt</t>
  </si>
  <si>
    <t>Svetlana Alexievich</t>
  </si>
  <si>
    <t>E. Powys Mathers</t>
  </si>
  <si>
    <t>Thomas Mann</t>
  </si>
  <si>
    <t>James Clear</t>
  </si>
  <si>
    <t>Thomas Rid</t>
  </si>
  <si>
    <t>Georges Perec</t>
  </si>
  <si>
    <t>Larry Myers</t>
  </si>
  <si>
    <t>Bruno Maçães</t>
  </si>
  <si>
    <t>Janet Landman</t>
  </si>
  <si>
    <t>Daniel L. Everett</t>
  </si>
  <si>
    <t>Robert  Kolker</t>
  </si>
  <si>
    <t>Howard E. Wasdin</t>
  </si>
  <si>
    <t>Gus Russo</t>
  </si>
  <si>
    <t>Carl Sagan</t>
  </si>
  <si>
    <t>Stephen Hawking</t>
  </si>
  <si>
    <t>James Gleick</t>
  </si>
  <si>
    <t>Joshua Foer</t>
  </si>
  <si>
    <t>Bill Bryson</t>
  </si>
  <si>
    <t>Elliott West</t>
  </si>
  <si>
    <t>Richard Dawkins</t>
  </si>
  <si>
    <t>Dick Couch</t>
  </si>
  <si>
    <t>Robert Greene</t>
  </si>
  <si>
    <t>Rusty Bradley</t>
  </si>
  <si>
    <t>Eric L. Haney</t>
  </si>
  <si>
    <t>Bud Winter</t>
  </si>
  <si>
    <t>Malcolm Gladwell</t>
  </si>
  <si>
    <t>Thich Nhat Hanh</t>
  </si>
  <si>
    <t>Viktor E. Frankl</t>
  </si>
  <si>
    <t>Tom Brown Jr.</t>
  </si>
  <si>
    <t>Gary Schroen</t>
  </si>
  <si>
    <t>Ben Carson</t>
  </si>
  <si>
    <t>Nathaniel Hawthorne</t>
  </si>
  <si>
    <t>Albert Camus</t>
  </si>
  <si>
    <t>Fyodor Dostoyevsky</t>
  </si>
  <si>
    <t>Eric Schlosser</t>
  </si>
  <si>
    <t>Marcus Aurelius</t>
  </si>
  <si>
    <t>Graham Greene</t>
  </si>
  <si>
    <t>John Steinbeck</t>
  </si>
  <si>
    <t>George Orwell</t>
  </si>
  <si>
    <t>William Golding</t>
  </si>
  <si>
    <t>John Wooden</t>
  </si>
  <si>
    <t>Benjamin Hoff</t>
  </si>
  <si>
    <t>Scott Patterson</t>
  </si>
  <si>
    <t>Douglas Adams</t>
  </si>
  <si>
    <t>Nassim Nicholas Taleb</t>
  </si>
  <si>
    <t>Steven Pressfield</t>
  </si>
  <si>
    <t>Chaim Potok</t>
  </si>
  <si>
    <t>Arthur C. Clarke</t>
  </si>
  <si>
    <t>Paulo Coelho</t>
  </si>
  <si>
    <t>Mark Bowden</t>
  </si>
  <si>
    <t>Robert  O'Neill</t>
  </si>
  <si>
    <t>John Fleischman</t>
  </si>
  <si>
    <t>Douglas R. Hofstadter</t>
  </si>
  <si>
    <t>Annie Jacobsen</t>
  </si>
  <si>
    <t>Christopher Whitcomb</t>
  </si>
  <si>
    <t>Tom Clancy</t>
  </si>
  <si>
    <t>Morris Kline</t>
  </si>
  <si>
    <t>Philip C. Jackson</t>
  </si>
  <si>
    <t>Henry A. Crumpton</t>
  </si>
  <si>
    <t>Timothy Ferriss</t>
  </si>
  <si>
    <t>Markus Zusak</t>
  </si>
  <si>
    <t>Charles Petzold</t>
  </si>
  <si>
    <t>Edward O. Thorp</t>
  </si>
  <si>
    <t>Stephen Kinzer</t>
  </si>
  <si>
    <t>Bethany McLean</t>
  </si>
  <si>
    <t>Douglas Laux</t>
  </si>
  <si>
    <t>Atul Gawande</t>
  </si>
  <si>
    <t>Mark Mazzetti</t>
  </si>
  <si>
    <t>Douglas Preston</t>
  </si>
  <si>
    <t>John Knowles</t>
  </si>
  <si>
    <t>C.S. Lewis</t>
  </si>
  <si>
    <t>Leo Tolstoy</t>
  </si>
  <si>
    <t>Joseph Conrad</t>
  </si>
  <si>
    <t>Joby Warrick</t>
  </si>
  <si>
    <t>Cormac McCarthy</t>
  </si>
  <si>
    <t>Chinua Achebe</t>
  </si>
  <si>
    <t>Khaled Hosseini</t>
  </si>
  <si>
    <t>Nick Bilton</t>
  </si>
  <si>
    <t>James M. Olson</t>
  </si>
  <si>
    <t>Ernest Hemingway</t>
  </si>
  <si>
    <t>Adam Higginbotham</t>
  </si>
  <si>
    <t>Anna Politkovskaya</t>
  </si>
  <si>
    <t>Anne Frank</t>
  </si>
  <si>
    <t>Arthur Conan Doyle</t>
  </si>
  <si>
    <t>Ayn Rand</t>
  </si>
  <si>
    <t>Bram Stoker</t>
  </si>
  <si>
    <t>Cal Newport</t>
  </si>
  <si>
    <t>Chris Whipple</t>
  </si>
  <si>
    <t>David Benioff</t>
  </si>
  <si>
    <t>Elisabeth Rosenthal</t>
  </si>
  <si>
    <t>Eric Blehm</t>
  </si>
  <si>
    <t>Eric Schmidt</t>
  </si>
  <si>
    <t>Franz Kafka</t>
  </si>
  <si>
    <t>George S. Clason</t>
  </si>
  <si>
    <t>Hans Rosling</t>
  </si>
  <si>
    <t>Harper Lee</t>
  </si>
  <si>
    <t>H.G. Wells</t>
  </si>
  <si>
    <t>Ian Fleming</t>
  </si>
  <si>
    <t>Ishmael Beah</t>
  </si>
  <si>
    <t>J.R.R. Tolkien</t>
  </si>
  <si>
    <t>James Hilton</t>
  </si>
  <si>
    <t>Jules Verne</t>
  </si>
  <si>
    <t>Dave Grossman</t>
  </si>
  <si>
    <t>Christopher McDougall</t>
  </si>
  <si>
    <t>John Boyne</t>
  </si>
  <si>
    <t>Ray Bradbury</t>
  </si>
  <si>
    <t>K. Black</t>
  </si>
  <si>
    <t>K Black</t>
  </si>
  <si>
    <t>Charles Dickens</t>
  </si>
  <si>
    <t>Jorge Luis Borges</t>
  </si>
  <si>
    <t>Dino Buzzati</t>
  </si>
  <si>
    <t>Bill Watterson</t>
  </si>
  <si>
    <t>Julien Gracq</t>
  </si>
  <si>
    <t>Robert Jordan</t>
  </si>
  <si>
    <t>Gene Wolfe</t>
  </si>
  <si>
    <t>Helen DeWitt</t>
  </si>
  <si>
    <t>J Storrs Hall</t>
  </si>
  <si>
    <t>Terry Goodkind</t>
  </si>
  <si>
    <t>Fernando Pessoa</t>
  </si>
  <si>
    <t>Joel L. Fleishman</t>
  </si>
  <si>
    <t>Louise Glück</t>
  </si>
  <si>
    <t>Charles Murray</t>
  </si>
  <si>
    <t>Robert D. Putnam</t>
  </si>
  <si>
    <t>Unknown</t>
  </si>
  <si>
    <t>Audrey Niffenegger</t>
  </si>
  <si>
    <t>J.D. Salinger</t>
  </si>
  <si>
    <t>Stephen Chbosky</t>
  </si>
  <si>
    <t>Emily Brontë</t>
  </si>
  <si>
    <t>Oscar Wilde</t>
  </si>
  <si>
    <t>Charlotte Brontë</t>
  </si>
  <si>
    <t>Sylvia Plath</t>
  </si>
  <si>
    <t>F. Scott Fitzgerald</t>
  </si>
  <si>
    <t>Jane Austen</t>
  </si>
  <si>
    <t>Jerry A. Coyne</t>
  </si>
  <si>
    <t>Robert A. Caro</t>
  </si>
  <si>
    <t>Angela Duckworth</t>
  </si>
  <si>
    <t>Kelly Starrett</t>
  </si>
  <si>
    <t>Richard J. Herrnstein</t>
  </si>
  <si>
    <t>Gavin de Becker</t>
  </si>
  <si>
    <t>Robert Garland</t>
  </si>
  <si>
    <t>Dan Jones</t>
  </si>
  <si>
    <t>Sylvan Hart</t>
  </si>
  <si>
    <t>Harold Peterson</t>
  </si>
  <si>
    <t>Konstantinos Dimopoulos</t>
  </si>
  <si>
    <t>Robert M. Pirsig</t>
  </si>
  <si>
    <t>Jason  Matthews</t>
  </si>
  <si>
    <t>David D. Burns</t>
  </si>
  <si>
    <t>Robert L. Grenier</t>
  </si>
  <si>
    <t>Friedrich Nietzsche</t>
  </si>
  <si>
    <t>Douglas C. Waller</t>
  </si>
  <si>
    <t>Howard Zinn</t>
  </si>
  <si>
    <t>Thor Heyerdahl</t>
  </si>
  <si>
    <t>Peter Zeihan</t>
  </si>
  <si>
    <t>Stuart Ritchie</t>
  </si>
  <si>
    <t>Meša Selimović</t>
  </si>
  <si>
    <t>Steve Stewart-Williams</t>
  </si>
  <si>
    <t>William Dorset Fellowes</t>
  </si>
  <si>
    <t>Ethan Mollick</t>
  </si>
  <si>
    <t>Aaron T. Beck</t>
  </si>
  <si>
    <t>Judith S. Beck</t>
  </si>
  <si>
    <t>K. Eric Drexler</t>
  </si>
  <si>
    <t>Robert Jackall</t>
  </si>
  <si>
    <t>Rolf Potts</t>
  </si>
  <si>
    <t>Seneca</t>
  </si>
  <si>
    <t>Juan José Saer</t>
  </si>
  <si>
    <t>Ismail Kadare</t>
  </si>
  <si>
    <t>Alexandre Dumas</t>
  </si>
  <si>
    <t>Eliezer Yudkowsky</t>
  </si>
  <si>
    <t>Scott   Alexander</t>
  </si>
  <si>
    <t>Billy Waugh</t>
  </si>
  <si>
    <t>Israel J. Singer</t>
  </si>
  <si>
    <t>W. Somerset Maugham</t>
  </si>
  <si>
    <t>Daniel Defoe</t>
  </si>
  <si>
    <t>Anonymous</t>
  </si>
  <si>
    <t>Margaret Mitchell</t>
  </si>
  <si>
    <t>Gareth James</t>
  </si>
  <si>
    <t>Victor Hugo</t>
  </si>
  <si>
    <t>Niall Ferguson</t>
  </si>
  <si>
    <t>Patrick Lencioni</t>
  </si>
  <si>
    <t>Irvine Welsh</t>
  </si>
  <si>
    <t>Norman Walter</t>
  </si>
  <si>
    <t>Thomas Barfield</t>
  </si>
  <si>
    <t>William Dalrymple</t>
  </si>
  <si>
    <t>Stuart McGill</t>
  </si>
  <si>
    <t>Stephen L. Macknik</t>
  </si>
  <si>
    <t>David W. Maurer</t>
  </si>
  <si>
    <t>Robert Sullivan</t>
  </si>
  <si>
    <t>James Stejskal</t>
  </si>
  <si>
    <t>Robert Byron</t>
  </si>
  <si>
    <t>Gillian Flynn</t>
  </si>
  <si>
    <t>Byung-Kook Kim</t>
  </si>
  <si>
    <t>Michele Sharon Jaffe</t>
  </si>
  <si>
    <t>Stendhal</t>
  </si>
  <si>
    <t>Adam Smith</t>
  </si>
  <si>
    <t>Richard H. Thaler</t>
  </si>
  <si>
    <t>Alexis de Tocqueville</t>
  </si>
  <si>
    <t>Richard Aldington</t>
  </si>
  <si>
    <t>Michael   Lewis</t>
  </si>
  <si>
    <t>Leonard Sax</t>
  </si>
  <si>
    <t>Paul Mellon</t>
  </si>
  <si>
    <t>Steven Pinker</t>
  </si>
  <si>
    <t>Gabriel García Márquez</t>
  </si>
  <si>
    <t>Philipp Freiherr von Boeselager</t>
  </si>
  <si>
    <t>K. Anders Ericsson</t>
  </si>
  <si>
    <t>Fernand Braudel</t>
  </si>
  <si>
    <t>Gabriel Weinberg</t>
  </si>
  <si>
    <t>Ursula K. Le Guin</t>
  </si>
  <si>
    <t>Richard P. Feynman</t>
  </si>
  <si>
    <t>John Muir</t>
  </si>
  <si>
    <t>Robert M. Sapolsky</t>
  </si>
  <si>
    <t>Yann Martel</t>
  </si>
  <si>
    <t>Kathryn J. Edin</t>
  </si>
  <si>
    <t>Richard Hamming</t>
  </si>
  <si>
    <t>Bryan Caplan</t>
  </si>
  <si>
    <t>Thomas Sowell</t>
  </si>
  <si>
    <t>Geoffrey Miller</t>
  </si>
  <si>
    <t>Alexandra David-Néel</t>
  </si>
  <si>
    <t>Suki Kim</t>
  </si>
  <si>
    <t>Allen Carr</t>
  </si>
  <si>
    <t>Michael          Smith</t>
  </si>
  <si>
    <t>Neal Stephenson</t>
  </si>
  <si>
    <t>Anthony Swofford</t>
  </si>
  <si>
    <t>Michael Light</t>
  </si>
  <si>
    <t>László Polgár</t>
  </si>
  <si>
    <t>Ian Frazier</t>
  </si>
  <si>
    <t>Daniel Keyes</t>
  </si>
  <si>
    <t>S.E. Hinton</t>
  </si>
  <si>
    <t>Wallace Stegner</t>
  </si>
  <si>
    <t>Gregory Clark</t>
  </si>
  <si>
    <t>Paul Fussell</t>
  </si>
  <si>
    <t>Erik Larson</t>
  </si>
  <si>
    <t>Barry Sears</t>
  </si>
  <si>
    <t>Jean Paul Zogby</t>
  </si>
  <si>
    <t>John F. O'Hanlon</t>
  </si>
  <si>
    <t>Mitchell Duneier</t>
  </si>
  <si>
    <t>Philip J. Guo</t>
  </si>
  <si>
    <t>Elbert Hubbard</t>
  </si>
  <si>
    <t>Orlando Figes</t>
  </si>
  <si>
    <t>Harold Bloom</t>
  </si>
  <si>
    <t>Gretchen McCulloch</t>
  </si>
  <si>
    <t>Christian Brose</t>
  </si>
  <si>
    <t>John Wackman</t>
  </si>
  <si>
    <t>Stewart Brand</t>
  </si>
  <si>
    <t>Mark Twight</t>
  </si>
  <si>
    <t>Marty Skovlund Jr.</t>
  </si>
  <si>
    <t>Freeman Dyson</t>
  </si>
  <si>
    <t>Anthony Trollope</t>
  </si>
  <si>
    <t>Arthur  Miller</t>
  </si>
  <si>
    <t>William Shakespeare</t>
  </si>
  <si>
    <t>Walter Isaacson</t>
  </si>
  <si>
    <t>Jacques-Yves Cousteau</t>
  </si>
  <si>
    <t>Patrick Radden Keefe</t>
  </si>
  <si>
    <t>Keith Ferrazzi</t>
  </si>
  <si>
    <t>Gilles Deleuze</t>
  </si>
  <si>
    <t>Steven Goldberg</t>
  </si>
  <si>
    <t>Umberto Eco</t>
  </si>
  <si>
    <t>Robert C.W. Ettinger</t>
  </si>
  <si>
    <t>Kevin Simler</t>
  </si>
  <si>
    <t>Mark Z. Danielewski</t>
  </si>
  <si>
    <t>Umberto Pelizzari</t>
  </si>
  <si>
    <t>Victor Davis Hanson</t>
  </si>
  <si>
    <t>Sebastian Junger</t>
  </si>
  <si>
    <t>Hubert Selby Jr.</t>
  </si>
  <si>
    <t>John Maynard Keynes</t>
  </si>
  <si>
    <t>Riad Sattouf</t>
  </si>
  <si>
    <t>Lloyd Goodrich</t>
  </si>
  <si>
    <t>Wilfred Thesiger</t>
  </si>
  <si>
    <t>Agatha Christie</t>
  </si>
  <si>
    <t>Robert B. Cialdini</t>
  </si>
  <si>
    <t>Mike Coburn</t>
  </si>
  <si>
    <t>Glyn Moody</t>
  </si>
  <si>
    <t>Patrick Leigh Fermor</t>
  </si>
  <si>
    <t>Homer</t>
  </si>
  <si>
    <t>Peter Matthiessen</t>
  </si>
  <si>
    <t>Stephen Christopher Quinn</t>
  </si>
  <si>
    <t>Chuck Palahniuk</t>
  </si>
  <si>
    <t>Benjamin Tromly</t>
  </si>
  <si>
    <t>Brian Merchant</t>
  </si>
  <si>
    <t>Josh Dean</t>
  </si>
  <si>
    <t>Lesley Blanch</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</si>
  <si>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</si>
  <si>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</si>
  <si>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</si>
  <si>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</si>
  <si>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</si>
  <si>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</si>
  <si>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</si>
  <si>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</si>
  <si>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</si>
  <si>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</si>
  <si>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</si>
  <si>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</si>
  <si>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</si>
  <si>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</si>
  <si>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Frank C. Barnes</t>
  </si>
  <si>
    <t>Eoin McNamee</t>
  </si>
  <si>
    <t>Sherry Sontag</t>
  </si>
  <si>
    <t>Roelf Van Heerden</t>
  </si>
  <si>
    <t>Billy Hayes</t>
  </si>
  <si>
    <t>Roald Dahl</t>
  </si>
  <si>
    <t>Kurt Vonnegut Jr.</t>
  </si>
  <si>
    <t>Natalie Babbitt</t>
  </si>
  <si>
    <t>John Grogan</t>
  </si>
  <si>
    <t>Randall Munroe</t>
  </si>
  <si>
    <t>Laura Hillenbrand</t>
  </si>
  <si>
    <t>Doris Kearns Goodwin</t>
  </si>
  <si>
    <t>Milan M. Ćirković</t>
  </si>
  <si>
    <t>Herman Melville</t>
  </si>
  <si>
    <t>Harriet Beecher Stowe</t>
  </si>
  <si>
    <t>Andy Weir</t>
  </si>
  <si>
    <t>Rudyard Kipling</t>
  </si>
  <si>
    <t>Matthew Sadler</t>
  </si>
  <si>
    <t>Daniel Kahneman</t>
  </si>
  <si>
    <t>Barbara O'Brien</t>
  </si>
  <si>
    <t>Bertrand Russell</t>
  </si>
  <si>
    <t>Martin  Gilbert</t>
  </si>
  <si>
    <t>Nigel West</t>
  </si>
  <si>
    <t>Henry Kissinger</t>
  </si>
  <si>
    <t>Mary Wollstonecraft Shelley</t>
  </si>
  <si>
    <t>Margaret E. Roberts</t>
  </si>
  <si>
    <t>James  Griffiths</t>
  </si>
  <si>
    <t>Niccolò Machiavelli</t>
  </si>
  <si>
    <t>Richard Matheson</t>
  </si>
  <si>
    <t>Barbara Demick</t>
  </si>
  <si>
    <t>Mitch Albom</t>
  </si>
  <si>
    <t>Francis Fukuyama</t>
  </si>
  <si>
    <t>Jared Diamond</t>
  </si>
  <si>
    <t>Tara Westover</t>
  </si>
  <si>
    <t>Joseph Heller</t>
  </si>
  <si>
    <t>B.R. Myers</t>
  </si>
  <si>
    <t>Philip Pullman</t>
  </si>
  <si>
    <t>Lois Lowry</t>
  </si>
  <si>
    <t>Beth Macy</t>
  </si>
  <si>
    <t>Alex Abella</t>
  </si>
  <si>
    <t>Ezra F. Vogel</t>
  </si>
  <si>
    <t>Kim Zetter</t>
  </si>
  <si>
    <t>Tom Wainwright</t>
  </si>
  <si>
    <t>John Gunther</t>
  </si>
  <si>
    <t>Randolph Stow</t>
  </si>
  <si>
    <t>Lewis Mumford</t>
  </si>
  <si>
    <t>Charles L. Marohn Jr.</t>
  </si>
  <si>
    <t>Kate DiCamillo</t>
  </si>
  <si>
    <t>Jeanne DuPrau</t>
  </si>
  <si>
    <t>Max G. Gergel</t>
  </si>
  <si>
    <t>Emanuel Swedenborg</t>
  </si>
  <si>
    <t>Shelley Rigger</t>
  </si>
  <si>
    <t>William Finnegan</t>
  </si>
  <si>
    <t>Edward Chancellor</t>
  </si>
  <si>
    <t>Aleksandr Solzhenitsyn</t>
  </si>
  <si>
    <t>James L. Swanson</t>
  </si>
  <si>
    <t>William Faulkner</t>
  </si>
  <si>
    <t>Aldous Huxley</t>
  </si>
  <si>
    <t>Marcus Luttrell</t>
  </si>
  <si>
    <t>Mario Puzo</t>
  </si>
  <si>
    <t>Marjorie C. Malley</t>
  </si>
  <si>
    <t>Mark Divine</t>
  </si>
  <si>
    <t>Michael Crichton</t>
  </si>
  <si>
    <t>Morton D. Davis</t>
  </si>
  <si>
    <t>Neal Bascomb</t>
  </si>
  <si>
    <t>Nikolai Gogol</t>
  </si>
  <si>
    <t>Paul E. Ceruzzi</t>
  </si>
  <si>
    <t>Reza Kahlili</t>
  </si>
  <si>
    <t>Robert Louis Stevenson</t>
  </si>
  <si>
    <t>Robert Wright</t>
  </si>
  <si>
    <t>Thomas Kurz</t>
  </si>
  <si>
    <t>Tim Jeal</t>
  </si>
  <si>
    <t>Geoff Manaugh</t>
  </si>
  <si>
    <t>Richard McKenna</t>
  </si>
  <si>
    <t>Bill Mason</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</si>
  <si>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</si>
  <si>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</si>
  <si>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</si>
  <si>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</si>
  <si>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</si>
  <si>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</si>
  <si>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</si>
  <si>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</si>
  <si>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</si>
  <si>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</si>
  <si>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</si>
  <si>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</si>
  <si>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</si>
  <si>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</si>
  <si>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</si>
  <si>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</si>
  <si>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</si>
  <si>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</si>
  <si>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</si>
  <si>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</si>
  <si>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</si>
  <si>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</si>
  <si>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</si>
  <si>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</si>
  <si>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</si>
  <si>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</si>
  <si>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</si>
  <si>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</si>
  <si>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</si>
  <si>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</si>
  <si>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</si>
  <si>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</si>
  <si>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</si>
  <si>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</si>
  <si>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</si>
  <si>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</si>
  <si>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</si>
  <si>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</si>
  <si>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</si>
  <si>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</si>
  <si>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</si>
  <si>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</si>
  <si>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</si>
  <si>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</si>
  <si>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</si>
  <si>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</si>
  <si>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</si>
  <si>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</si>
  <si>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</si>
  <si>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</si>
  <si>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</si>
  <si>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</si>
  <si>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</si>
  <si>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</si>
  <si>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</si>
  <si>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</si>
  <si>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</si>
  <si>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</si>
  <si>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</si>
  <si>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</si>
  <si>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</si>
  <si>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</si>
  <si>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</si>
  <si>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</si>
  <si>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</si>
  <si>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</si>
  <si>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</si>
  <si>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</si>
  <si>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</si>
  <si>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</si>
  <si>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</si>
  <si>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</si>
  <si>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</si>
  <si>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</si>
  <si>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</si>
  <si>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</si>
  <si>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</si>
  <si>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</si>
  <si>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</si>
  <si>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</si>
  <si>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</si>
  <si>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Paul Scharre</t>
  </si>
  <si>
    <t>Richard Rhodes</t>
  </si>
  <si>
    <t>Peter Watson</t>
  </si>
  <si>
    <t>James A. Michener</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</si>
  <si>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</si>
  <si>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</si>
  <si>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</si>
  <si>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</si>
  <si>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</si>
  <si>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</si>
  <si>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</si>
  <si>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</si>
  <si>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</si>
  <si>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</si>
  <si>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</si>
  <si>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</si>
  <si>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Scott Aaronson</t>
  </si>
  <si>
    <t>Nick Bostrom</t>
  </si>
  <si>
    <t>Frederick P. Brooks Jr.</t>
  </si>
  <si>
    <t>Sasha Abramsky</t>
  </si>
  <si>
    <t>J.K. Rowling</t>
  </si>
  <si>
    <t>Rudy Rucker</t>
  </si>
  <si>
    <t>Ernest J. Gaines</t>
  </si>
  <si>
    <t>James Surowiecki</t>
  </si>
  <si>
    <t>Kevin D. Mitnick</t>
  </si>
  <si>
    <t>John C. Maxwell</t>
  </si>
  <si>
    <t>Free Press</t>
  </si>
  <si>
    <t>UCL Press</t>
  </si>
  <si>
    <t>Fanfiction.net</t>
  </si>
  <si>
    <t>Subterranean Press</t>
  </si>
  <si>
    <t>Harvill Secker</t>
  </si>
  <si>
    <t>Vintage</t>
  </si>
  <si>
    <t>Picador</t>
  </si>
  <si>
    <t>Berkley</t>
  </si>
  <si>
    <t>Basic Books</t>
  </si>
  <si>
    <t>Sinauer Associates</t>
  </si>
  <si>
    <t>University Press of the Pacific</t>
  </si>
  <si>
    <t>Cucumber Island Storytellers</t>
  </si>
  <si>
    <t>Penguin Books</t>
  </si>
  <si>
    <t>Back Bay Books</t>
  </si>
  <si>
    <t>Farrar, Straus and Giroux</t>
  </si>
  <si>
    <t>W. W. Norton  Company</t>
  </si>
  <si>
    <t>Signet</t>
  </si>
  <si>
    <t>University of Chicago Press</t>
  </si>
  <si>
    <t xml:space="preserve">William Morrow </t>
  </si>
  <si>
    <t>Text Publishing</t>
  </si>
  <si>
    <t>Unbound</t>
  </si>
  <si>
    <t>Avery</t>
  </si>
  <si>
    <t>Verba Mundi</t>
  </si>
  <si>
    <t>Hurst Publishers</t>
  </si>
  <si>
    <t>Oxford University Press, USA</t>
  </si>
  <si>
    <t>Pantheon</t>
  </si>
  <si>
    <t>Doubleday Books</t>
  </si>
  <si>
    <t>St. Martin's Press</t>
  </si>
  <si>
    <t>Bloomsbury USA</t>
  </si>
  <si>
    <t>Random House</t>
  </si>
  <si>
    <t>Bantam Books</t>
  </si>
  <si>
    <t>Knopf Doubleday Publishing Group</t>
  </si>
  <si>
    <t>Penguin Press HC, The</t>
  </si>
  <si>
    <t>Broadway Books</t>
  </si>
  <si>
    <t>University Press of Kansas</t>
  </si>
  <si>
    <t>Bantam Press</t>
  </si>
  <si>
    <t>Three Rivers Press</t>
  </si>
  <si>
    <t>Penguin (Business)</t>
  </si>
  <si>
    <t>Bantam</t>
  </si>
  <si>
    <t>Delta</t>
  </si>
  <si>
    <t>A. S. Barnes</t>
  </si>
  <si>
    <t>Little, Brown and Company</t>
  </si>
  <si>
    <t>Riverhead Books</t>
  </si>
  <si>
    <t>Beacon Press</t>
  </si>
  <si>
    <t>Berkley Trade</t>
  </si>
  <si>
    <t>Presidio Press</t>
  </si>
  <si>
    <t>Zondervan</t>
  </si>
  <si>
    <t>Vintage International</t>
  </si>
  <si>
    <t>Penguin</t>
  </si>
  <si>
    <t>Harper Perennial</t>
  </si>
  <si>
    <t>Sheba Blake Publishing</t>
  </si>
  <si>
    <t>Penguin Classics</t>
  </si>
  <si>
    <t>New American Library</t>
  </si>
  <si>
    <t xml:space="preserve">Penguin Books </t>
  </si>
  <si>
    <t>McGraw-Hill</t>
  </si>
  <si>
    <t>Egmont Books</t>
  </si>
  <si>
    <t>Crown Publishing Group</t>
  </si>
  <si>
    <t>Del Rey</t>
  </si>
  <si>
    <t xml:space="preserve">Random House </t>
  </si>
  <si>
    <t>Random House Trade Paperbacks</t>
  </si>
  <si>
    <t>Fawcett Books</t>
  </si>
  <si>
    <t>Del Rey Books</t>
  </si>
  <si>
    <t>HarperCollins</t>
  </si>
  <si>
    <t>Atlantic Monthly Press</t>
  </si>
  <si>
    <t>Scribner</t>
  </si>
  <si>
    <t>HMH Books for Young Readers</t>
  </si>
  <si>
    <t>Grand Central Publishing</t>
  </si>
  <si>
    <t>Berkley Books</t>
  </si>
  <si>
    <t>Dover Publications</t>
  </si>
  <si>
    <t>Penguin Audio</t>
  </si>
  <si>
    <t>Houghton Mifflin Harcourt</t>
  </si>
  <si>
    <t>Alfred A. Knopf</t>
  </si>
  <si>
    <t>Microsoft Press</t>
  </si>
  <si>
    <t>Times Books</t>
  </si>
  <si>
    <t>Portfolio Trade</t>
  </si>
  <si>
    <t>Metropolitan Books</t>
  </si>
  <si>
    <t>The Penguin Press</t>
  </si>
  <si>
    <t>Touchstone Books</t>
  </si>
  <si>
    <t>Green Integer</t>
  </si>
  <si>
    <t>Doubleday</t>
  </si>
  <si>
    <t>Anchor Books</t>
  </si>
  <si>
    <t>Portfolio</t>
  </si>
  <si>
    <t>Potomac Books</t>
  </si>
  <si>
    <t>Simon &amp; Schuster</t>
  </si>
  <si>
    <t>Little, Brown and Company/Hachette Book Group, Inc.</t>
  </si>
  <si>
    <t>Geddes &amp; Grosset</t>
  </si>
  <si>
    <t>Signet Book</t>
  </si>
  <si>
    <t>Plume</t>
  </si>
  <si>
    <t>NAL</t>
  </si>
  <si>
    <t>Norton</t>
  </si>
  <si>
    <t>Books on Tape</t>
  </si>
  <si>
    <t>Vintage Books</t>
  </si>
  <si>
    <t>Viking Books</t>
  </si>
  <si>
    <t>Random House Large Print Publishing</t>
  </si>
  <si>
    <t>WaterBrook</t>
  </si>
  <si>
    <t>John Murray</t>
  </si>
  <si>
    <t>Vintage Classics</t>
  </si>
  <si>
    <t>Signet Classics</t>
  </si>
  <si>
    <t>Penguin Classics Deluxe Editions</t>
  </si>
  <si>
    <t>Sceptre</t>
  </si>
  <si>
    <t xml:space="preserve">Harper Perennial Modern Classics </t>
  </si>
  <si>
    <t>Bantam Classics</t>
  </si>
  <si>
    <t>Sarah Crichton Books</t>
  </si>
  <si>
    <t>Houghton Mifflin</t>
  </si>
  <si>
    <t>Open Road Media</t>
  </si>
  <si>
    <t>Modern Library</t>
  </si>
  <si>
    <t>Barnes &amp; Noble</t>
  </si>
  <si>
    <t>Maxim Montoto</t>
  </si>
  <si>
    <t>Knopf</t>
  </si>
  <si>
    <t>David Fickling Books</t>
  </si>
  <si>
    <t>Zulu23 Group</t>
  </si>
  <si>
    <t>Createspace Independent Publishing Platform</t>
  </si>
  <si>
    <t>Grove Press</t>
  </si>
  <si>
    <t>Digireads.com</t>
  </si>
  <si>
    <t>Andrews McMeel Publishing</t>
  </si>
  <si>
    <t>Heinemann Educational Books</t>
  </si>
  <si>
    <t>Tor Books</t>
  </si>
  <si>
    <t>Orb Books</t>
  </si>
  <si>
    <t>Miramax Books</t>
  </si>
  <si>
    <t>PublicAffairs</t>
  </si>
  <si>
    <t>Ecco</t>
  </si>
  <si>
    <t>Crown Forum</t>
  </si>
  <si>
    <t>Simon  Schuster</t>
  </si>
  <si>
    <t>W.W. Norton &amp; Company</t>
  </si>
  <si>
    <t>Zola Books</t>
  </si>
  <si>
    <t xml:space="preserve">Bethany House Publishers </t>
  </si>
  <si>
    <t>MTV Books/Pocket Books</t>
  </si>
  <si>
    <t>Random House: Modern Library</t>
  </si>
  <si>
    <t>Harper Perennial Modern Classics</t>
  </si>
  <si>
    <t>Viking</t>
  </si>
  <si>
    <t>Liveright</t>
  </si>
  <si>
    <t>Collins</t>
  </si>
  <si>
    <t>Victory Belt Publishing</t>
  </si>
  <si>
    <t>Bloomsbury Publishing PLC</t>
  </si>
  <si>
    <t>Great Courses Teaching Company</t>
  </si>
  <si>
    <t>Head of Zeus</t>
  </si>
  <si>
    <t>Backeddy Books</t>
  </si>
  <si>
    <t>Charles Scribners and Sons</t>
  </si>
  <si>
    <t>Countryman Press</t>
  </si>
  <si>
    <t>HarperTorch</t>
  </si>
  <si>
    <t>Harper</t>
  </si>
  <si>
    <t>Rand McNally</t>
  </si>
  <si>
    <t>Twelve</t>
  </si>
  <si>
    <t>Bodley Head</t>
  </si>
  <si>
    <t>Northwestern University Press</t>
  </si>
  <si>
    <t>Cambridge University Press</t>
  </si>
  <si>
    <t>Wharton School Press</t>
  </si>
  <si>
    <t>The Guilford Press</t>
  </si>
  <si>
    <t>Wiley</t>
  </si>
  <si>
    <t>Villard Books</t>
  </si>
  <si>
    <t>Vigeo Press</t>
  </si>
  <si>
    <t>Serpent's Tail</t>
  </si>
  <si>
    <t>Arcade Publishing</t>
  </si>
  <si>
    <t>The Modern Library</t>
  </si>
  <si>
    <t>hpmor.com &amp; fanfiction.net</t>
  </si>
  <si>
    <t>Avon</t>
  </si>
  <si>
    <t>Warner Books</t>
  </si>
  <si>
    <t>Springer</t>
  </si>
  <si>
    <t>Gavin de Becker Center for the Study and Reduction of Violence</t>
  </si>
  <si>
    <t>Penguin Press</t>
  </si>
  <si>
    <t>Jossey-Bass</t>
  </si>
  <si>
    <t>The Mitre Press</t>
  </si>
  <si>
    <t>Princeton University Press</t>
  </si>
  <si>
    <t>Lonely Planet Publications</t>
  </si>
  <si>
    <t>Henry Holt and Co.</t>
  </si>
  <si>
    <t>Rowman &amp; Littlefield Publishers</t>
  </si>
  <si>
    <t>Casemate Publishers and Book Distributors LLC</t>
  </si>
  <si>
    <t>Harvard University Press</t>
  </si>
  <si>
    <t>Harvard University Department of Comparative Literature</t>
  </si>
  <si>
    <t>Arlington House</t>
  </si>
  <si>
    <t>Hogarth Press</t>
  </si>
  <si>
    <t>Basic Books (AZ)</t>
  </si>
  <si>
    <t>William Morrow &amp; Company</t>
  </si>
  <si>
    <t>Viking Penguin</t>
  </si>
  <si>
    <t>Eamon Dolan/Houghton Mifflin Harcourt</t>
  </si>
  <si>
    <t>University of California Press</t>
  </si>
  <si>
    <t>Peregrine Smith Books</t>
  </si>
  <si>
    <t>Seal Books</t>
  </si>
  <si>
    <t>CRC Press</t>
  </si>
  <si>
    <t>First Second</t>
  </si>
  <si>
    <t>Cambrian Moon</t>
  </si>
  <si>
    <t>Crown</t>
  </si>
  <si>
    <t>Sterling</t>
  </si>
  <si>
    <t>William Morrow</t>
  </si>
  <si>
    <t>Farrar Straus Giroux</t>
  </si>
  <si>
    <t xml:space="preserve">Bloomsbury Publishing </t>
  </si>
  <si>
    <t>Harvest Books</t>
  </si>
  <si>
    <t>Puffin Books (US/CAN)</t>
  </si>
  <si>
    <t>Touchstone</t>
  </si>
  <si>
    <t>Machine Intelligence Research Institute</t>
  </si>
  <si>
    <t>Harper Collins</t>
  </si>
  <si>
    <t>Time Lighthouse Publishing</t>
  </si>
  <si>
    <t>Wiley-Interscience</t>
  </si>
  <si>
    <t>Filiquarian Publishing, LLC.</t>
  </si>
  <si>
    <t>Hachette Books</t>
  </si>
  <si>
    <t>Mountaineers Books</t>
  </si>
  <si>
    <t>Blackside Publishing</t>
  </si>
  <si>
    <t xml:space="preserve">Penguin </t>
  </si>
  <si>
    <t>Hard Press</t>
  </si>
  <si>
    <t>Oxford University Press</t>
  </si>
  <si>
    <t>Heinemann Library</t>
  </si>
  <si>
    <t>Simon Schuster</t>
  </si>
  <si>
    <t>Harper &amp; Row</t>
  </si>
  <si>
    <t>Addison Wesley</t>
  </si>
  <si>
    <t>Crown Business</t>
  </si>
  <si>
    <t>University of Minnesota Press</t>
  </si>
  <si>
    <t>Open Court</t>
  </si>
  <si>
    <t>Mariner Books</t>
  </si>
  <si>
    <t>Ria University Press</t>
  </si>
  <si>
    <t>Ballantine Books</t>
  </si>
  <si>
    <t>Idelson Gnocchi Pub</t>
  </si>
  <si>
    <t>Anchor</t>
  </si>
  <si>
    <t>Da Capo Press</t>
  </si>
  <si>
    <t>Prometheus Books</t>
  </si>
  <si>
    <t>Harry N. Abrams</t>
  </si>
  <si>
    <t>Harper Business</t>
  </si>
  <si>
    <t>Mainstream Publishing</t>
  </si>
  <si>
    <t>John Murray Publishers Ltd</t>
  </si>
  <si>
    <t>NYRB Classics</t>
  </si>
  <si>
    <t xml:space="preserve">Penguin Classics </t>
  </si>
  <si>
    <t>Non Prophet, LLC</t>
  </si>
  <si>
    <t>W.W. Norton &amp; Company (NYC)</t>
  </si>
  <si>
    <t>Dutton</t>
  </si>
  <si>
    <t>Tauris Parke Paperbacks</t>
  </si>
  <si>
    <t>Friends of the Earth, Inc. (NY)</t>
  </si>
  <si>
    <t>National Geographic</t>
  </si>
  <si>
    <t>Random House Trade</t>
  </si>
  <si>
    <t>Post Hill Press</t>
  </si>
  <si>
    <t>Crown Publishing Group (NY)</t>
  </si>
  <si>
    <t>Barnes &amp; Noble Books</t>
  </si>
  <si>
    <t>Union Square Press</t>
  </si>
  <si>
    <t>Amistad</t>
  </si>
  <si>
    <t>Gun Digest Books</t>
  </si>
  <si>
    <t>Faber</t>
  </si>
  <si>
    <t>William Morrow Paperbacks</t>
  </si>
  <si>
    <t>Helion &amp; Company</t>
  </si>
  <si>
    <t>Curly Brains Press</t>
  </si>
  <si>
    <t>Knopf Books for Young Readers</t>
  </si>
  <si>
    <t xml:space="preserve">Alfred A. Knopf </t>
  </si>
  <si>
    <t>Puffin Books</t>
  </si>
  <si>
    <t>The Magazine of Fantasy and Science Fiction</t>
  </si>
  <si>
    <t>Penguin/Twentieth Century Classics</t>
  </si>
  <si>
    <t>William Morrow; 1ST edition</t>
  </si>
  <si>
    <t>Wordsworth Classics</t>
  </si>
  <si>
    <t>Roc</t>
  </si>
  <si>
    <t xml:space="preserve">Tor Classics </t>
  </si>
  <si>
    <t>New in Chess</t>
  </si>
  <si>
    <t>Routledge</t>
  </si>
  <si>
    <t>Pan Books</t>
  </si>
  <si>
    <t>Arrow Books</t>
  </si>
  <si>
    <t>Holt McDougal</t>
  </si>
  <si>
    <t>Scarecrow Press</t>
  </si>
  <si>
    <t>Random House Value Publishing</t>
  </si>
  <si>
    <t>Little Brown and Cmpany</t>
  </si>
  <si>
    <t>Zed Books</t>
  </si>
  <si>
    <t>Dante University of America Press</t>
  </si>
  <si>
    <t>Gauntlet Publications</t>
  </si>
  <si>
    <t>Deodand</t>
  </si>
  <si>
    <t>PPCT Research Publications</t>
  </si>
  <si>
    <t>Spiegel &amp; Grau</t>
  </si>
  <si>
    <t>Warner</t>
  </si>
  <si>
    <t>Penguin Books Ltd. (London)</t>
  </si>
  <si>
    <t xml:space="preserve">Simon &amp; Schuster </t>
  </si>
  <si>
    <t>Melville House</t>
  </si>
  <si>
    <t>Laurel Leaf</t>
  </si>
  <si>
    <t>Alfred A. Knopf Books for Young Readers</t>
  </si>
  <si>
    <t>Harcourt Books/Houghton Mifflin Harcourt Publishing Company</t>
  </si>
  <si>
    <t>Belknap Press</t>
  </si>
  <si>
    <t>New Press</t>
  </si>
  <si>
    <t>Harper &amp; Row, Publishers</t>
  </si>
  <si>
    <t>Beaufort Books/Ayer Publishing Co.</t>
  </si>
  <si>
    <t>Harper &amp; Brothers</t>
  </si>
  <si>
    <t>Simon Publications</t>
  </si>
  <si>
    <t>University of Queensland Pr (Australia)</t>
  </si>
  <si>
    <t>Candlewick Press</t>
  </si>
  <si>
    <t>Random House Children's Books</t>
  </si>
  <si>
    <t>Pierce</t>
  </si>
  <si>
    <t>New Century Edition</t>
  </si>
  <si>
    <t>Plume Books</t>
  </si>
  <si>
    <t>Parallax Press</t>
  </si>
  <si>
    <t>HarperPerennial / Perennial Classics</t>
  </si>
  <si>
    <t>US Tactical, Inc</t>
  </si>
  <si>
    <t>Alfred A. Knopf, Inc.</t>
  </si>
  <si>
    <t>Allen Lane</t>
  </si>
  <si>
    <t>The MIT Press</t>
  </si>
  <si>
    <t>Threshold Editions</t>
  </si>
  <si>
    <t>Profile Books</t>
  </si>
  <si>
    <t>Kingfisher</t>
  </si>
  <si>
    <t>Stadion Publishing Company, Inc.</t>
  </si>
  <si>
    <t>Yale University Press</t>
  </si>
  <si>
    <t>Flamingo</t>
  </si>
  <si>
    <t>Fsg Originals</t>
  </si>
  <si>
    <t>US Naval Institute Press</t>
  </si>
  <si>
    <t>Villard</t>
  </si>
  <si>
    <t>Children's Classics</t>
  </si>
  <si>
    <t>One Life Defense LLC, Varg Freeborn</t>
  </si>
  <si>
    <t>Bloomsbury Press</t>
  </si>
  <si>
    <t>Columbia University Press</t>
  </si>
  <si>
    <t>Serindia Publications</t>
  </si>
  <si>
    <t>Penguin Global</t>
  </si>
  <si>
    <t>Lonely Planet</t>
  </si>
  <si>
    <t>Pineland Productions/Vector Defensive Systems</t>
  </si>
  <si>
    <t>Pocket Books</t>
  </si>
  <si>
    <t>Pocket Books/Star Trek</t>
  </si>
  <si>
    <t>Pocket Star Books</t>
  </si>
  <si>
    <t>Crown Publishers</t>
  </si>
  <si>
    <t>Hamish Hamilton</t>
  </si>
  <si>
    <t>Eland</t>
  </si>
  <si>
    <t>Santa Fe Institute Press</t>
  </si>
  <si>
    <t>Public Domain Books</t>
  </si>
  <si>
    <t>Tarcher</t>
  </si>
  <si>
    <t>MX Publishing</t>
  </si>
  <si>
    <t>New York University Press</t>
  </si>
  <si>
    <t>Birlinn Limited</t>
  </si>
  <si>
    <t>Adventure Library</t>
  </si>
  <si>
    <t>Reaktion Books</t>
  </si>
  <si>
    <t>Signal</t>
  </si>
  <si>
    <t>Chronicle Books</t>
  </si>
  <si>
    <t>Robert Laffont</t>
  </si>
  <si>
    <t>Casemate Ipm</t>
  </si>
  <si>
    <t>Marguerite Jones Utley</t>
  </si>
  <si>
    <t>Weidenfeld &amp; Nicholson</t>
  </si>
  <si>
    <t>Brookings Institution Press</t>
  </si>
  <si>
    <t>Portfolio/Penguin</t>
  </si>
  <si>
    <t>Vintage/Ebury</t>
  </si>
  <si>
    <t>Lawrence Hill Books</t>
  </si>
  <si>
    <t>Nan A. Talese</t>
  </si>
  <si>
    <t>Harvill Press</t>
  </si>
  <si>
    <t>Dial Press</t>
  </si>
  <si>
    <t xml:space="preserve">Casemate Publishers </t>
  </si>
  <si>
    <t>Knopf Publishing Group</t>
  </si>
  <si>
    <t>Atria Books</t>
  </si>
  <si>
    <t>Penguin Group</t>
  </si>
  <si>
    <t>Workman Publishing Company</t>
  </si>
  <si>
    <t>Addison-Wesley Professional</t>
  </si>
  <si>
    <t>Delacorte Press</t>
  </si>
  <si>
    <t>Ember</t>
  </si>
  <si>
    <t>Alfred A. Knopf Borzoi Books</t>
  </si>
  <si>
    <t>Not Avail</t>
  </si>
  <si>
    <t>Arthur A. Levine Books / Scholastic Inc.</t>
  </si>
  <si>
    <t>Scholastic Inc.</t>
  </si>
  <si>
    <t>Scholastic</t>
  </si>
  <si>
    <t>Scholastic Inc</t>
  </si>
  <si>
    <t>Simon &amp; Schuster Paperbacks</t>
  </si>
  <si>
    <t>Thomas Nelson Inc</t>
  </si>
  <si>
    <t>Paperback</t>
  </si>
  <si>
    <t>ebook</t>
  </si>
  <si>
    <t>Hardcover</t>
  </si>
  <si>
    <t>Mass Market Paperback</t>
  </si>
  <si>
    <t>Kindle Edition</t>
  </si>
  <si>
    <t>Audio CD</t>
  </si>
  <si>
    <t>Leather Bound</t>
  </si>
  <si>
    <t>paper</t>
  </si>
  <si>
    <t>Trade Paperback</t>
  </si>
  <si>
    <t>Unknown Binding</t>
  </si>
  <si>
    <t>2020/12/10</t>
  </si>
  <si>
    <t>2020/11/11</t>
  </si>
  <si>
    <t>2020/07/08</t>
  </si>
  <si>
    <t>2020/09/12</t>
  </si>
  <si>
    <t>2020/08/21</t>
  </si>
  <si>
    <t>2020/08/19</t>
  </si>
  <si>
    <t>2020/08/16</t>
  </si>
  <si>
    <t>2020/04/29</t>
  </si>
  <si>
    <t>2020/07/24</t>
  </si>
  <si>
    <t>2020/06/29</t>
  </si>
  <si>
    <t>2020/06/15</t>
  </si>
  <si>
    <t>2020/06/14</t>
  </si>
  <si>
    <t>2020/06/07</t>
  </si>
  <si>
    <t>2020/06/05</t>
  </si>
  <si>
    <t>2020/05/23</t>
  </si>
  <si>
    <t>2020/05/18</t>
  </si>
  <si>
    <t>2020/05/20</t>
  </si>
  <si>
    <t>2020/05/19</t>
  </si>
  <si>
    <t>2020/05/07</t>
  </si>
  <si>
    <t>2020/05/14</t>
  </si>
  <si>
    <t>2020/05/16</t>
  </si>
  <si>
    <t>2020/05/11</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</si>
  <si>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</si>
  <si>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</si>
  <si>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</si>
  <si>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</si>
  <si>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</si>
  <si>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</si>
  <si>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</si>
  <si>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</si>
  <si>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</si>
  <si>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</si>
  <si>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</si>
  <si>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</si>
  <si>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</si>
  <si>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</si>
  <si>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</si>
  <si>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</si>
  <si>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</si>
  <si>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</si>
  <si>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</si>
  <si>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</si>
  <si>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</si>
  <si>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</si>
  <si>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</si>
  <si>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</si>
  <si>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</si>
  <si>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</si>
  <si>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</si>
  <si>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2020/12/12</t>
  </si>
  <si>
    <t>2020/04/24</t>
  </si>
  <si>
    <t>2020/12/01</t>
  </si>
  <si>
    <t>2020/11/29</t>
  </si>
  <si>
    <t>2020/11/27</t>
  </si>
  <si>
    <t>2020/11/26</t>
  </si>
  <si>
    <t>2020/11/24</t>
  </si>
  <si>
    <t>2020/11/15</t>
  </si>
  <si>
    <t>2020/11/14</t>
  </si>
  <si>
    <t>2020/11/13</t>
  </si>
  <si>
    <t>2020/10/24</t>
  </si>
  <si>
    <t>2020/11/10</t>
  </si>
  <si>
    <t>2020/11/09</t>
  </si>
  <si>
    <t>2020/11/08</t>
  </si>
  <si>
    <t>2020/11/06</t>
  </si>
  <si>
    <t>2020/10/31</t>
  </si>
  <si>
    <t>2020/10/30</t>
  </si>
  <si>
    <t>2020/10/29</t>
  </si>
  <si>
    <t>2020/10/28</t>
  </si>
  <si>
    <t>2020/10/19</t>
  </si>
  <si>
    <t>2020/10/18</t>
  </si>
  <si>
    <t>2017/12/22</t>
  </si>
  <si>
    <t>2017/12/26</t>
  </si>
  <si>
    <t>2019/08/22</t>
  </si>
  <si>
    <t>2019/08/23</t>
  </si>
  <si>
    <t>2019/11/27</t>
  </si>
  <si>
    <t>2019/11/29</t>
  </si>
  <si>
    <t>2019/12/28</t>
  </si>
  <si>
    <t>2019/12/22</t>
  </si>
  <si>
    <t>2020/02/22</t>
  </si>
  <si>
    <t>2020/03/31</t>
  </si>
  <si>
    <t>2020/04/17</t>
  </si>
  <si>
    <t>2020/08/24</t>
  </si>
  <si>
    <t>2020/08/18</t>
  </si>
  <si>
    <t>2020/10/16</t>
  </si>
  <si>
    <t>2020/10/12</t>
  </si>
  <si>
    <t>2020/10/08</t>
  </si>
  <si>
    <t>2020/10/07</t>
  </si>
  <si>
    <t>2020/10/06</t>
  </si>
  <si>
    <t>2020/10/02</t>
  </si>
  <si>
    <t>2020/09/22</t>
  </si>
  <si>
    <t>2020/09/17</t>
  </si>
  <si>
    <t>2020/09/16</t>
  </si>
  <si>
    <t>2020/04/05</t>
  </si>
  <si>
    <t>2020/08/02</t>
  </si>
  <si>
    <t>2020/09/10</t>
  </si>
  <si>
    <t>2020/09/06</t>
  </si>
  <si>
    <t>2020/09/04</t>
  </si>
  <si>
    <t>2020/09/03</t>
  </si>
  <si>
    <t>2020/09/01</t>
  </si>
  <si>
    <t>2020/08/30</t>
  </si>
  <si>
    <t>2020/08/29</t>
  </si>
  <si>
    <t>2020/08/27</t>
  </si>
  <si>
    <t>2020/08/26</t>
  </si>
  <si>
    <t>2020/08/23</t>
  </si>
  <si>
    <t>2020/07/12</t>
  </si>
  <si>
    <t>2020/08/15</t>
  </si>
  <si>
    <t>2020/08/11</t>
  </si>
  <si>
    <t>2020/08/10</t>
  </si>
  <si>
    <t>2020/08/08</t>
  </si>
  <si>
    <t>2020/08/06</t>
  </si>
  <si>
    <t>2020/07/30</t>
  </si>
  <si>
    <t>2019/08/24</t>
  </si>
  <si>
    <t>2020/07/28</t>
  </si>
  <si>
    <t>2020/07/25</t>
  </si>
  <si>
    <t>2020/07/27</t>
  </si>
  <si>
    <t>2020/01/17</t>
  </si>
  <si>
    <t>2020/07/23</t>
  </si>
  <si>
    <t>2020/07/22</t>
  </si>
  <si>
    <t>2020/07/21</t>
  </si>
  <si>
    <t>2020/07/20</t>
  </si>
  <si>
    <t>2020/07/18</t>
  </si>
  <si>
    <t>2020/07/10</t>
  </si>
  <si>
    <t>2020/05/21</t>
  </si>
  <si>
    <t>2020/07/09</t>
  </si>
  <si>
    <t>2020/07/05</t>
  </si>
  <si>
    <t>2020/07/06</t>
  </si>
  <si>
    <t>2020/07/04</t>
  </si>
  <si>
    <t>2020/06/30</t>
  </si>
  <si>
    <t>2020/03/15</t>
  </si>
  <si>
    <t>2020/06/26</t>
  </si>
  <si>
    <t>2020/06/24</t>
  </si>
  <si>
    <t>2020/06/18</t>
  </si>
  <si>
    <t>2020/06/17</t>
  </si>
  <si>
    <t>2020/06/16</t>
  </si>
  <si>
    <t>2020/06/12</t>
  </si>
  <si>
    <t>2020/06/06</t>
  </si>
  <si>
    <t>2019/08/25</t>
  </si>
  <si>
    <t>2020/06/01</t>
  </si>
  <si>
    <t>2020/05/29</t>
  </si>
  <si>
    <t>2020/05/28</t>
  </si>
  <si>
    <t>2020/05/24</t>
  </si>
  <si>
    <t>2020/05/10</t>
  </si>
  <si>
    <t>2020/05/22</t>
  </si>
  <si>
    <t>2020/04/12</t>
  </si>
  <si>
    <t>2019/12/25</t>
  </si>
  <si>
    <t>2020/05/17</t>
  </si>
  <si>
    <t>2020/05/15</t>
  </si>
  <si>
    <t>2020/04/03</t>
  </si>
  <si>
    <t>2020/04/28</t>
  </si>
  <si>
    <t>2020/04/26</t>
  </si>
  <si>
    <t>2020/04/21</t>
  </si>
  <si>
    <t>2020/04/19</t>
  </si>
  <si>
    <t>2020/04/15</t>
  </si>
  <si>
    <t>2020/02/19</t>
  </si>
  <si>
    <t>2020/02/28</t>
  </si>
  <si>
    <t>2020/04/11</t>
  </si>
  <si>
    <t>2020/04/10</t>
  </si>
  <si>
    <t>2020/04/01</t>
  </si>
  <si>
    <t>2020/03/28</t>
  </si>
  <si>
    <t>2020/03/27</t>
  </si>
  <si>
    <t>2020/03/23</t>
  </si>
  <si>
    <t>2020/03/22</t>
  </si>
  <si>
    <t>2020/03/16</t>
  </si>
  <si>
    <t>2020/03/08</t>
  </si>
  <si>
    <t>2020/01/21</t>
  </si>
  <si>
    <t>2020/02/21</t>
  </si>
  <si>
    <t>2020/02/17</t>
  </si>
  <si>
    <t>2020/02/15</t>
  </si>
  <si>
    <t>2020/02/11</t>
  </si>
  <si>
    <t>2020/01/26</t>
  </si>
  <si>
    <t>2019/12/27</t>
  </si>
  <si>
    <t>2020/01/16</t>
  </si>
  <si>
    <t>2020/01/01</t>
  </si>
  <si>
    <t>2019/12/30</t>
  </si>
  <si>
    <t>2019/12/02</t>
  </si>
  <si>
    <t>2019/12/23</t>
  </si>
  <si>
    <t>2019/12/17</t>
  </si>
  <si>
    <t>2019/12/06</t>
  </si>
  <si>
    <t>2019/11/18</t>
  </si>
  <si>
    <t>2019/11/15</t>
  </si>
  <si>
    <t>2019/11/10</t>
  </si>
  <si>
    <t>2019/10/30</t>
  </si>
  <si>
    <t>2019/10/18</t>
  </si>
  <si>
    <t>2019/10/13</t>
  </si>
  <si>
    <t>2019/10/10</t>
  </si>
  <si>
    <t>2019/10/08</t>
  </si>
  <si>
    <t>2019/10/05</t>
  </si>
  <si>
    <t>2019/10/01</t>
  </si>
  <si>
    <t>2019/09/21</t>
  </si>
  <si>
    <t>2019/09/03</t>
  </si>
  <si>
    <t>2019/09/13</t>
  </si>
  <si>
    <t>2019/09/11</t>
  </si>
  <si>
    <t>2019/09/02</t>
  </si>
  <si>
    <t>2019/08/28</t>
  </si>
  <si>
    <t>to-read</t>
  </si>
  <si>
    <t>currently-reading</t>
  </si>
  <si>
    <t>read</t>
  </si>
  <si>
    <t>&lt;i&gt;When to Rob a Bank&lt;/i&gt; is just a compilation of blog posts from &lt;a href="https://freakonomics.com/"&gt;Freakonomics&lt;/a&gt;. The posts vary wildly: most are funny, some are smart, some are not-so-smart, and a few are serious.&lt;br/&gt;&lt;br/&gt;This is good bedtime reading, but not really otherwise.</t>
  </si>
  <si>
    <t>de Becker's premise is simple: violence can (likely) be predicted. The person that lashes out in contradiction to their normal behavior probably had indicators that could have been noticed before the incident occurred.&lt;br/&gt;&lt;br/&gt;&lt;i&gt;Gift of Fear&lt;/i&gt; is primarily geared towards women and employers (because of workplace violence), but de Becker discusses a few other things.&lt;br/&gt;&lt;br/&gt;de Becker also argues that one should listen to fear whenever it's present and justified.&lt;br/&gt;&lt;br/&gt;Anecdotes are presented throughout to exemplify the principles.&lt;br/&gt;&lt;br/&gt;Brief notes &lt;a href="https://ethanmorse.github.io/knowledge/texts/text_reviews/text_reviews.html#gift_of_fear"&gt;here&lt;/a&gt;.</t>
  </si>
  <si>
    <t>See my notes (quotes) on the book &lt;a href="https://ethanmorse.github.io/knowledge/texts/text_reviews/text_reviews.html#vagabonding"&gt;here&lt;/a&gt;. The corresponding website is &lt;a href="https://vagabonding.net"&gt;vagabonding.net&lt;/a&gt;.&lt;br/&gt;&lt;br/&gt;Potts offers both advice on the physical and mental aspects of traveling, from what to bring on the months-long trip to how to approach adventure and the actual act of vagabonding. At the end of each chapter is a "Tip Sheet", where Potts provides further resources on the chapter's topic, including books and a short summary, websites, and other pieces of advice. Relevant quotes are found throughout the book.&lt;br/&gt;&lt;br/&gt;My main takeaways: pack light; go with the flow; do what you want.&lt;br/&gt;&lt;br/&gt;See also &lt;a href="https://www.goodreads.com/book/show/463297.My_Journey_to_Lhasa"&gt;&lt;i&gt;My Journey to Lhasa&lt;/i&gt;&lt;/a&gt;, &lt;a href="https://www.goodreads.com/book/show/124431.In_Xanadu"&gt;&lt;i&gt;In Xanadu&lt;/i&gt;&lt;/a&gt;, &lt;a href="https://www.goodreads.com/book/show/825419.Arabian_Sands"&gt;&lt;i&gt;Arabian Sands&lt;/i&gt;&lt;/a&gt;, &lt;a href="https://www.goodreads.com/book/show/670302.Among_the_Mountains"&gt;&lt;i&gt;Among the Mountains&lt;/i&gt;&lt;/a&gt;, &lt;a href="https://www.goodreads.com/book/show/253984.A_Time_of_Gifts"&gt;&lt;i&gt;A Time of Gifts&lt;/i&gt;&lt;/a&gt;.</t>
  </si>
  <si>
    <t>Link to another translation &lt;a href="https://archive.org/stream/SenecaOnTheShortnessOfLife/Seneca+on+the+Shortness+of+Life_djvu.txt"&gt;here&lt;/a&gt;. I also recommend checking out &lt;a href="http://classics.mit.edu/"&gt;The Internet Classics Archives&lt;/a&gt; for similar free literature.&lt;br/&gt;&lt;br/&gt;I came in expecting a book as impactful as Aurelius's &lt;a href="https://www.goodreads.com/book/show/30659.Meditations"&gt;&lt;i&gt;Meditations&lt;/i&gt;&lt;/a&gt;, which is one of the most important and formative books I've read, but was disappointed. It reads similarly, but the topics are just not the same.&lt;br/&gt;&lt;br/&gt;Seneca's argument is simple. Life is short, but only feels short to those who waste it. It is those who maximize their days that get the most out of life, both in quality and quantity.&lt;br/&gt;&lt;br/&gt;A few good quotes:&lt;br/&gt;&lt;br/&gt;"It is not that we have a short space of time, but that we waste much of it. Life is long enough, and it has been given in sufficiently generous measure to allow the accomplishment of the very greatest things if the whole of it is well invested. But when it is squandered in luxury and carelessness, when it is devoted to no good end, forced at last by the ultimate necessity we perceive that it has passed away before we were aware that it was passing. So it is—the life we receive is not short, but we make it so, nor do we have any lack of it, but are wasteful of it." This reminds me of the cliche quote that goes something like "Everyone has 24 hours in a day. How will you choose to spend yours?" While obvious, it should be understood. Too many spend their 16 waking hours mindlessly browsing their phone and doing unproductive, unenjoyable activities out of habit or lack of freedom (paychecks are required to live).&lt;br/&gt;&lt;br/&gt;"The space you have, which reason can prolong, although it naturally hurries away, of necessity escapes from you quickly; for you do not seize it, you neither hold it back, nor impose delay upon the swiftest thing in the world, but you allow it to slip away as if it were something superfluous and that could be replaced." This sums up one of Seneca's primary arguments: time is irreplaceable and thus the most valuable asset any human possesses. Material objects, money, etc., can easily be replaced, but you can never get back the time that just passed while reading this sentence. And yet people allow time to flow right past them without giving it a second thought.&lt;br/&gt;&lt;br/&gt;"Life will follow the path it started upon, and will neither reverse nor check its course; it will make no noise, it will not remind you of its swiftness. Silent it will glide on; it will not prolong itself at the command of a king, or at the applause of the populace. Just as it was started on its first day, so it will run; nowhere will it turn aside, nowhere will it delay. And what will be the result? You have been engrossed, life hasten by; meanwhile death will be at hand, for which, willy nilly, you must find leisure." First off, yes, "willy nilly" is verbatim. This idea of time making no noise or reminding you is a common experience in society. Parents often say "it seemed like he was just [age] a minute ago..." and most adults feel like "they were just starting work yesterday". I experienced this with passing through university: while it took four years and I can vividly remember each of the eight, busy semesters, it nonetheless passed quickly (and much more quickly than I would have liked!). I now try to take a moment when I'm doing something enjoyable (hanging out with friends, enjoying nice weather outside, eating a delicious meal) to stop and take in the full experience.</t>
  </si>
  <si>
    <t>A wonderful, capturing story of gross injustice and the vengeance upon the wrongdoers, exploring themes of love and the extent of revenge in the process.&lt;br/&gt;&lt;br/&gt;So, can revenge go too far? Does it depend on the crime committed, and should the severity of revenge be greater than the severity of the crime? Who is to determine that? What happens when innocent bystanders are negatively affected, or even killed? These are all questions posed to the reader as the story progresses. &lt;br/&gt;&lt;br/&gt;The book is quite long, mostly as a function of the language of the times. For example, an excerpt: "I confess this is the drollest thing I have ever met with in the course of my extensive foreign transactions and you may readily suppose it has greatly roused my curiosity; indeed, so much did I long to see the bearer of so unprecedented an order for an unlimited credit, that I took the trouble this morning to call on the pretended count, for his title is a mere fiction—of that I am persuaded." While this isn't necessarily a bad thing, it absolutely contributes to the massive length of the book (the Modern Library edition is 1462 pages). I recommend learning the characters' names, relations, and positions, as it makes understanding the text much easier.</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</si>
  <si>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</si>
  <si>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Dalrymple's account of following in &lt;a href="https://en.wikipedia.org/wiki/Marco_polo"&gt;Marco Polo&lt;/a&gt;'s journey in his book, &lt;a href="https://www.goodreads.com/book/show/1025439.The_Travels_Of_Marco_Polo?from_search=true&amp;from_srp=true&amp;qid=4nQhVaIT9j&amp;rank=2"&gt;&lt;i&gt;The Travels of Marco Polo&lt;/i&gt;&lt;/a&gt;. He alternates between the culture and history of the place he's at and his actual travels. See David-Néel's &lt;a href="https://www.goodreads.com/book/show/463297.My_Journey_to_Lhasa?ac=1&amp;from_search=true&amp;qid=iaTGkhv6Wb&amp;rank=1"&gt;&lt;i&gt;My Journey to Lhasa&lt;/i&gt;&lt;/a&gt; (&lt;a href="https://www.goodreads.com/review/show/2951252490?book_show_action=false&amp;from_review_page=1"&gt;my review&lt;/a&gt;) for a similar adventure.</t>
  </si>
  <si>
    <t>Short disclaimer: I am 22 y.o. white middle-class male.  I grew up playing violent video games akin to the ones he describes in the book (Halo, Call of Duty, although Grand Theft Auto wasn't allowed until around 12 y.o.). I have never taken prescription drugs for ADHD, but have many friends who have. My kindergarten classroom was not as rigorous as Sax describes modern classrooms—we had story time, nap time, and recess.&lt;br/&gt;&lt;br/&gt;With all that said, I did not enjoy this book, specifically the video games section. Sax attributes the "growing epidemic of unmotivated boys and underachieving young men" to five distinct factors: video games, teaching methods, prescription drugs, environmental toxins, and devaluation of masculinity. (This is on the cover page of some books, but not for others.)&lt;br/&gt;&lt;br/&gt;Video games have been blamed as the cause of violence by the media for a number of years now. They question the motives of school shooters, sometimes wondering if video games are to blame. The &lt;a href="https://en.wikipedia.org/wiki/American_Psychological_Association"&gt;American Pscyhological Association&lt;/a&gt; has stated that there is &lt;a href="https://www.apa.org/news/press/releases/2015/08/violent-video-games"&gt;insufficient evidence&lt;/a&gt; to link violence and video games. This book was published in 2007, so well before the APA's &lt;a href="https://www.apa.org/about/policy/violent-video-games"&gt;Resolution on Violent Video Games&lt;/a&gt; was published. Regardless, some of his suggestions for the "appropriate use of video games" are practically ridiculous: "no more than forty minutes a day on school days, one hour a day on other days" (forty minutes is hardly enough time to have fun time), "some of the E-rated games were more violent—and engendered more violent behaviors—than some explicitly violent "T" games" (yet these games were not named in &lt;i&gt;Boys Adrift&lt;/i&gt; nor the cited book, &lt;i&gt;Violent Video Game Effects on Children and Adolescents&lt;/i&gt;). As for anecdotal evidence, neither myself nor any of my violent-video-game-playing friends, numbering well over 10 (so not quite statistically significant), have ever shown questionable signs of violence. And yet we still enjoy action and war movies, shooting guns, etc.&lt;br/&gt;&lt;br/&gt;His other suggestions and remedies are more reasonable. In regards to education, don't force boys to start so early in life and focus the curriculum on experiencing things, rather than just book-smart knowledge. In regards to ADHD diagnosis, choose an independent evaluator that goes through all the steps to determine if the child likely has ADHD, and only then prescribe him medicine in conservative amount.&lt;br/&gt;&lt;br/&gt;This book is worth reading because a) it has a few tidbits of helpful advice, and b) it is so short and not much time will be spent on it.</t>
  </si>
  <si>
    <t>&lt;a href="https://en.wikipedia.org/wiki/Richard_Feynman"&gt;Richard Feynman&lt;/a&gt; is known for a few things: his work on quantum mechanics, his &lt;a href="https://www.feynmanlectures.caltech.edu/"&gt;undergraduate lecture series&lt;/a&gt; on the standard physics series (mechanics and thermodynamics, electricity and magnetism, and quantum), and his work on the &lt;a href="https://en.wikipedia.org/wiki/Manhattan_Project"&gt;Manhattan Project&lt;/a&gt;. What most people don't realize is that this physics professor also had fun in his spare time, and this book is his chance to enlighten us.&lt;br/&gt;&lt;br/&gt;Feynman's adventures are numerous and diverse, including fixing broken radios; designing a burglar alarm (and having it work on his mother); stealing doors from fellow fraternity members; reciting Italian poems to Girl Scouts; serving as a chief research chemist; lecturing to &lt;a href="https://en.wikipedia.org/wiki/Albert_Einstein"&gt;Einstein&lt;/a&gt;, &lt;a href="https://en.wikipedia.org/wiki/John_von_Neumann"&gt;von Neumann&lt;/a&gt;, and &lt;a href="https://en.wikipedia.org/wiki/Wolfgang_Pauli"&gt;Pauli&lt;/a&gt;; smelling books and finding out exactly who touched them; watching the &lt;a href="https://www.youtube.com/watch?v=7dfK9G7UDok"&gt;Trinity test&lt;/a&gt;; cracking safes; picking up women at bars; learning Portuguese in preparation for Brazil; gambling with other people's money; learning how to draw; serving on a commission that chooses textbooks for public schools (and getting wooed by the publishers).&lt;br/&gt;&lt;br/&gt;The final chapter discusses the scientific method and scientific integrity. See his lecture &lt;a href="https://www.youtube.com/watch?v=EYPapE-3FRw"&gt;here&lt;/a&gt; and &lt;a href="https://www.youtube.com/watch?v=36GT2zI8lVA"&gt;his answer&lt;/a&gt; to the simple question "why".&lt;br/&gt;&lt;br/&gt;A few other reviewers mention his arrogance and that most of his jokes are at the expense of others. This is true, but not nearly as pronounced as they make it to be. He tends to be humble in his descriptions, but whether that is honest or hollow must be determined by the reader.</t>
  </si>
  <si>
    <t>As the name implies, this book is a series of essays written by &lt;a href="https://en.wikipedia.org/wiki/John_Muir"&gt;John Muir&lt;/a&gt;, a prominent outdoorsman and one of the primary reasons America has so many &lt;a href="https://en.wikipedia.org/wiki/List_of_national_parks_of_the_United_States"&gt;national parks&lt;/a&gt;.&lt;br/&gt;&lt;br/&gt;Muir eloquently describes his romps around the woods, climbs up prominent peaks (Mt. Shasta, Rainier), and other adventures in the untouched western U.S. wilderness. His writing is quite beautiful, invoking feelings of awe towards nature and providing vivid imagery to put the reader in Muir's own boots. An excerpt: "when one of the greatest and most impressively sublime of all the mountain views I've ever enjoyed it came full in sight – more than three hundred miles of closely packed peaks of the great Coast Range, sculptured in the boldest manner imaginable, their naked tops and dividing ridges dark in color, their sides in the cañons, gorges, and valleys between them loaded with glaciers and snow. From this standpoint I counted upwards of two hundred glaciers, while dark-centered, luminous clouds with fringed edges hovered and crawled over them, now slowly descending, casting transparent shadows on the ice and snow, now rising high above them, lingering like loving angels guarding the crystal gifts they had bestowed."&lt;br/&gt;&lt;br/&gt;There is no mistaking Muir's fascination and sheer love for the wilderness: his writing conveys just how much nature means to him and how he sees it differently than the average hiker.&lt;br/&gt;&lt;br/&gt;This book is highly recommended for any outdoors person, and should be read while experiencing nature (preferably similar to where was!).&lt;br/&gt;&lt;br/&gt;If you're wanting to experience Californian nature and mountains, I highly recommend &lt;a href="https://www.trinityalpsresort.com/"&gt;Trinity Alps Resort&lt;/a&gt;, located near Redding, CA. Established in the 1920's (my great-grandfather went there as a child), it is a wonderful place to relax with friends and family and experience nature. The hike to &lt;a href="https://en.wikipedia.org/wiki/Emerald_Lake_(Trinity_County,_California)"&gt;Emerald Lake&lt;/a&gt; is challenging (26 miles round-trip from TAR), but entirely worth it: landscapes straight out of this book are present along the entire trail.&lt;br/&gt;&lt;br/&gt;See also: Albert Bierstadt's &lt;a href="https://www.albertbierstadt.org/the-complete-works.html"&gt;complete works&lt;/a&gt;, &lt;a href="https://californiahighsierra.com/"&gt;California's High Sierra&lt;/a&gt;.</t>
  </si>
  <si>
    <t>This book is an extended case study on "110 low-income unwed fathers" in the Philadelphia metropolitan area (Camden, NJ, is included in this). Black and white, young and old, mature and immature.&lt;br/&gt;&lt;br/&gt;A few takeaways from this:&lt;br/&gt;&lt;br/&gt;In most families, the relationship of the parents come first, followed by the birth of the child. For a large majority of the fathers surveyed, the child came first, followed by the relationship. How? Lack of care about contraceptives is the main cause. Men often don't wear condoms and women are sometimes off of birth control. Some also just don't care or have enough foresight to consider the consequences.&lt;br/&gt;&lt;br/&gt;Fathers are largely excited and accepting towards becoming a father. In contrast to society's stereotypical view of low-income fathers who impregnate a woman and then leave, most of the men view their being a father as the best thing to ever happen to them, for a few reasons. For one, it is a goal they've always had: raising a little them and watching their growth and development in the world. It's also a catalyst for change, especially when the fathers' paths are not on an optimal path: the child gives them meaning and purpose in their lives.&lt;br/&gt;&lt;br/&gt;Ideal characteristics of a father are common among inner-city fathers, but the ability to provide reigns supreme above all. This can be especially problematic for those with low paychecks, as their take-home pay after the essentials (rent, groceries, etc) can be quite small, minimizing the amount they can provide for their children.&lt;br/&gt;&lt;br/&gt;"Quality time" is one of the most important parts of the father-child relationship. Fathers cherish the regular activities they get to do with their children, be it watching television or going to the park.&lt;br/&gt;&lt;br/&gt;Mothers are discussed briefly, but their views are similar across the board: fathers need to contribute both financially and morally, be accountable (no more going to the bars after work when the baby's at home), and so on. Some men oppose this and view it as constricting on their lifestyle, causing them to not pursue a relationship with the mother.&lt;br/&gt;&lt;br/&gt;An appendix details the statistics of the fathers, including their income, reactions to pregnancy, level of pregnancy intentionality, relationship strains preceding breakup, etc.&lt;br/&gt;</t>
  </si>
  <si>
    <t>A thrilling travel tale of &lt;a href="https://en.wikipedia.org/wiki/Alexandra_David_Neel"&gt;Alexandra David-Néel&lt;/a&gt;'s journey to the Thibetan city of &lt;a href="https://en.wikipedia.org/wiki/Lhasa"&gt;Lhasa&lt;/a&gt;, complete with adventures of conjuring evil magic against potential robbers, telling the fortune (&lt;a href="https://en.wikipedia.org/wiki/Mo_(divination)"&gt;Mo&lt;/a&gt;) of Thibetans they meet along the way, and avoiding detection by the hundreds of travelers and villagers they encounter on their journey.&lt;br/&gt;&lt;br/&gt;Neel and her adopted Thibetan son, Yongden (who is also a Western-educated &lt;a href="https://en.wikipedia.org/wiki/Lama"&gt;lama&lt;/a&gt;), took on the disguises of beggars making a pilgrimage to Lhasa. Their overt belongings included tents and food, while a compass, revolver, and money were hidden, only to be used when needed. Neel, having a white complexion, darkened her face with powder or cream (not sure how exactly to describe it) and wore a bonnet. Most travel took place at night to avoid interaction and possible detection, and she feigned ignorance when topics were discussed that a beggar should have no knowledge of. They stayed in villages, on rocky and plush ground, in abandoned huts; traveled through dense forests, over mountain peaks with blistering winds and dense snow, across valleys with lush grasslands; encountered pilgrims, robbers, reported cannibals (supposedly people who entered the Polung Teangpo region never returned, so there's only one thing that could have happened... (note that this region is not found on Google Maps nor Google in general)), lamas, bears; told lies as amusement (not cruelly), impressed others with their abilities, shot at a robber, prepared for battle against a gang. Despite their near-death experiences, Neel had the time of her life on the journey, but for her it was not about the journey, but the destination, for she would have been the first Western woman to ever set foot in Lhasa, also known as the Forbidden City.&lt;br/&gt;&lt;br/&gt;She arrived there just in time for the New Year celebrations (assumedly &lt;a href="https://en.wikipedia.org/wiki/Losar"&gt;Losar&lt;/a&gt;, the Thibetan New Year, but she never mentions it by name), remaining there and experiencing all the culture it had to offer. She slowly progresses in status to a middle-class woman with a servant.&lt;br/&gt;&lt;br/&gt;Thibetan culture is explained throughout, helping to supplement some of their actions. While not nearly as dedicated to the culture as her other book, &lt;a href="https://www.goodreads.com/book/show/921455.Magic_and_Mystery_in_Tibet?from_search=true&amp;from_srp=true&amp;qid=Db22Wj4u9z&amp;rank=1"&gt;&lt;i&gt;Magic and Mystery in Tibet&lt;/i&gt;&lt;/a&gt;, it offers a shallow, seemingly-comprehensive introduction into Thibetan culture and customs that would be difficult to learn about otherwise.&lt;br/&gt;&lt;br/&gt;A short compilation of Thibetan scenery can be found &lt;a href="https://www.youtube.com/watch?v=WP5f38VPLf8"&gt;here&lt;/a&gt;. This &lt;a href="https://www.redlandsdailyfacts.com/wp-content/uploads/migration/2015/201501/NEWS_150119440_EP_1_KCJCQCXDEAJX.jpg?w=810"&gt;picture&lt;/a&gt; seems to be the best available that features her route to Lhasa.&lt;br/&gt;&lt;br/&gt;This should be a part of any and every travel- or adventure-related bookshelf. Highly entertaining and informative, so highly recommended!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</si>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</sst>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42"/>
  <sheetViews>
    <sheetView tabSelected="1" workbookViewId="0">
      <selection activeCell="T1" sqref="T1"/>
    </sheetView>
  </sheetViews>
  <sheetFormatPr baseColWidth="10" defaultColWidth="8.83203125" defaultRowHeight="15" x14ac:dyDescent="0.2"/>
  <sheetData>
    <row r="1" spans="1:28"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row>
    <row r="2" spans="1:28" x14ac:dyDescent="0.2">
      <c r="A2" s="1">
        <v>0</v>
      </c>
      <c r="B2">
        <v>232459</v>
      </c>
      <c r="C2" t="s">
        <v>27</v>
      </c>
      <c r="D2" t="s">
        <v>667</v>
      </c>
      <c r="E2" t="str">
        <f>"0743227220"</f>
        <v>0743227220</v>
      </c>
      <c r="F2" t="str">
        <f>"9780743227223"</f>
        <v>9780743227223</v>
      </c>
      <c r="G2">
        <v>0</v>
      </c>
      <c r="H2">
        <v>4.25</v>
      </c>
      <c r="I2" t="s">
        <v>1162</v>
      </c>
      <c r="J2" t="s">
        <v>1507</v>
      </c>
      <c r="K2">
        <v>1024</v>
      </c>
      <c r="L2">
        <v>2003</v>
      </c>
      <c r="M2">
        <v>1985</v>
      </c>
      <c r="O2" t="s">
        <v>1566</v>
      </c>
      <c r="P2" t="s">
        <v>1711</v>
      </c>
      <c r="T2">
        <v>0</v>
      </c>
      <c r="W2">
        <v>0</v>
      </c>
    </row>
    <row r="3" spans="1:28" x14ac:dyDescent="0.2">
      <c r="A3" s="1">
        <v>1</v>
      </c>
      <c r="B3">
        <v>39105906</v>
      </c>
      <c r="C3" t="s">
        <v>28</v>
      </c>
      <c r="D3" t="s">
        <v>668</v>
      </c>
      <c r="E3" t="str">
        <f>"1787352463"</f>
        <v>1787352463</v>
      </c>
      <c r="F3" t="str">
        <f>"9781787352469"</f>
        <v>9781787352469</v>
      </c>
      <c r="G3">
        <v>0</v>
      </c>
      <c r="H3">
        <v>4.07</v>
      </c>
      <c r="I3" t="s">
        <v>1163</v>
      </c>
      <c r="J3" t="s">
        <v>1507</v>
      </c>
      <c r="K3">
        <v>326</v>
      </c>
      <c r="L3">
        <v>2018</v>
      </c>
      <c r="M3">
        <v>2018</v>
      </c>
      <c r="O3" t="s">
        <v>1566</v>
      </c>
      <c r="P3" t="s">
        <v>1711</v>
      </c>
      <c r="T3">
        <v>0</v>
      </c>
      <c r="W3">
        <v>0</v>
      </c>
    </row>
    <row r="4" spans="1:28" x14ac:dyDescent="0.2">
      <c r="A4" s="1">
        <v>2</v>
      </c>
      <c r="B4">
        <v>22872436</v>
      </c>
      <c r="C4" t="s">
        <v>29</v>
      </c>
      <c r="D4" t="s">
        <v>669</v>
      </c>
      <c r="E4" t="str">
        <f>""</f>
        <v/>
      </c>
      <c r="F4" t="str">
        <f>""</f>
        <v/>
      </c>
      <c r="G4">
        <v>0</v>
      </c>
      <c r="H4">
        <v>4.22</v>
      </c>
      <c r="I4" t="s">
        <v>1164</v>
      </c>
      <c r="J4" t="s">
        <v>1508</v>
      </c>
      <c r="K4">
        <v>241</v>
      </c>
      <c r="L4">
        <v>2014</v>
      </c>
      <c r="M4">
        <v>2014</v>
      </c>
      <c r="O4" t="s">
        <v>1517</v>
      </c>
      <c r="P4" t="s">
        <v>1711</v>
      </c>
      <c r="T4">
        <v>0</v>
      </c>
      <c r="W4">
        <v>0</v>
      </c>
    </row>
    <row r="5" spans="1:28" x14ac:dyDescent="0.2">
      <c r="A5" s="1">
        <v>3</v>
      </c>
      <c r="B5">
        <v>223379</v>
      </c>
      <c r="C5" t="s">
        <v>30</v>
      </c>
      <c r="D5" t="s">
        <v>670</v>
      </c>
      <c r="E5" t="str">
        <f>"1596061006"</f>
        <v>1596061006</v>
      </c>
      <c r="F5" t="str">
        <f>"9781596061002"</f>
        <v>9781596061002</v>
      </c>
      <c r="G5">
        <v>4</v>
      </c>
      <c r="H5">
        <v>4.33</v>
      </c>
      <c r="I5" t="s">
        <v>1165</v>
      </c>
      <c r="J5" t="s">
        <v>1509</v>
      </c>
      <c r="K5">
        <v>60</v>
      </c>
      <c r="L5">
        <v>2007</v>
      </c>
      <c r="M5">
        <v>2007</v>
      </c>
      <c r="N5" t="s">
        <v>1517</v>
      </c>
      <c r="O5" t="s">
        <v>1517</v>
      </c>
      <c r="P5" t="s">
        <v>1713</v>
      </c>
      <c r="T5">
        <v>1</v>
      </c>
      <c r="W5">
        <v>0</v>
      </c>
    </row>
    <row r="6" spans="1:28" x14ac:dyDescent="0.2">
      <c r="A6" s="1">
        <v>4</v>
      </c>
      <c r="B6">
        <v>23692271</v>
      </c>
      <c r="C6" t="s">
        <v>31</v>
      </c>
      <c r="D6" t="s">
        <v>671</v>
      </c>
      <c r="E6" t="str">
        <f>""</f>
        <v/>
      </c>
      <c r="F6" t="str">
        <f>""</f>
        <v/>
      </c>
      <c r="G6">
        <v>0</v>
      </c>
      <c r="H6">
        <v>4.41</v>
      </c>
      <c r="I6" t="s">
        <v>1166</v>
      </c>
      <c r="J6" t="s">
        <v>1507</v>
      </c>
      <c r="K6">
        <v>498</v>
      </c>
      <c r="L6">
        <v>2014</v>
      </c>
      <c r="M6">
        <v>2011</v>
      </c>
      <c r="O6" t="s">
        <v>1567</v>
      </c>
      <c r="P6" t="s">
        <v>1711</v>
      </c>
      <c r="T6">
        <v>0</v>
      </c>
      <c r="W6">
        <v>0</v>
      </c>
    </row>
    <row r="7" spans="1:28" x14ac:dyDescent="0.2">
      <c r="A7" s="1">
        <v>5</v>
      </c>
      <c r="B7">
        <v>62022</v>
      </c>
      <c r="C7" t="s">
        <v>32</v>
      </c>
      <c r="D7" t="s">
        <v>672</v>
      </c>
      <c r="E7" t="str">
        <f>"1400030609"</f>
        <v>1400030609</v>
      </c>
      <c r="F7" t="str">
        <f>"9781400030606"</f>
        <v>9781400030606</v>
      </c>
      <c r="G7">
        <v>0</v>
      </c>
      <c r="H7">
        <v>4.24</v>
      </c>
      <c r="I7" t="s">
        <v>1167</v>
      </c>
      <c r="J7" t="s">
        <v>1507</v>
      </c>
      <c r="K7">
        <v>243</v>
      </c>
      <c r="L7">
        <v>2003</v>
      </c>
      <c r="M7">
        <v>1983</v>
      </c>
      <c r="O7" t="s">
        <v>1568</v>
      </c>
      <c r="P7" t="s">
        <v>1711</v>
      </c>
      <c r="T7">
        <v>0</v>
      </c>
      <c r="W7">
        <v>0</v>
      </c>
    </row>
    <row r="8" spans="1:28" x14ac:dyDescent="0.2">
      <c r="A8" s="1">
        <v>6</v>
      </c>
      <c r="B8">
        <v>22836957</v>
      </c>
      <c r="C8" t="s">
        <v>33</v>
      </c>
      <c r="D8" t="s">
        <v>673</v>
      </c>
      <c r="E8" t="str">
        <f>"125006662X"</f>
        <v>125006662X</v>
      </c>
      <c r="F8" t="str">
        <f>"9781250066626"</f>
        <v>9781250066626</v>
      </c>
      <c r="G8">
        <v>0</v>
      </c>
      <c r="H8">
        <v>3.94</v>
      </c>
      <c r="I8" t="s">
        <v>1168</v>
      </c>
      <c r="J8" t="s">
        <v>1509</v>
      </c>
      <c r="K8">
        <v>262</v>
      </c>
      <c r="L8">
        <v>2015</v>
      </c>
      <c r="M8">
        <v>2002</v>
      </c>
      <c r="O8" t="s">
        <v>1569</v>
      </c>
      <c r="P8" t="s">
        <v>1711</v>
      </c>
      <c r="T8">
        <v>0</v>
      </c>
      <c r="W8">
        <v>0</v>
      </c>
    </row>
    <row r="9" spans="1:28" x14ac:dyDescent="0.2">
      <c r="A9" s="1">
        <v>7</v>
      </c>
      <c r="B9">
        <v>13399</v>
      </c>
      <c r="C9" t="s">
        <v>34</v>
      </c>
      <c r="D9" t="s">
        <v>674</v>
      </c>
      <c r="E9" t="str">
        <f>"0425201686"</f>
        <v>0425201686</v>
      </c>
      <c r="F9" t="str">
        <f>"9780425201688"</f>
        <v>9780425201688</v>
      </c>
      <c r="G9">
        <v>0</v>
      </c>
      <c r="H9">
        <v>3.86</v>
      </c>
      <c r="I9" t="s">
        <v>1169</v>
      </c>
      <c r="J9" t="s">
        <v>1507</v>
      </c>
      <c r="K9">
        <v>355</v>
      </c>
      <c r="L9">
        <v>2004</v>
      </c>
      <c r="M9">
        <v>2004</v>
      </c>
      <c r="O9" t="s">
        <v>1570</v>
      </c>
      <c r="P9" t="s">
        <v>1711</v>
      </c>
      <c r="T9">
        <v>0</v>
      </c>
      <c r="W9">
        <v>0</v>
      </c>
    </row>
    <row r="10" spans="1:28" x14ac:dyDescent="0.2">
      <c r="A10" s="1">
        <v>8</v>
      </c>
      <c r="B10">
        <v>50358526</v>
      </c>
      <c r="C10" t="s">
        <v>35</v>
      </c>
      <c r="D10" t="s">
        <v>675</v>
      </c>
      <c r="E10" t="str">
        <f>"1541647149"</f>
        <v>1541647149</v>
      </c>
      <c r="F10" t="str">
        <f>"9781541647145"</f>
        <v>9781541647145</v>
      </c>
      <c r="G10">
        <v>0</v>
      </c>
      <c r="H10">
        <v>3.32</v>
      </c>
      <c r="I10" t="s">
        <v>1170</v>
      </c>
      <c r="J10" t="s">
        <v>1509</v>
      </c>
      <c r="K10">
        <v>272</v>
      </c>
      <c r="L10">
        <v>2020</v>
      </c>
      <c r="M10">
        <v>2020</v>
      </c>
      <c r="O10" t="s">
        <v>1570</v>
      </c>
      <c r="P10" t="s">
        <v>1711</v>
      </c>
      <c r="T10">
        <v>0</v>
      </c>
      <c r="W10">
        <v>0</v>
      </c>
    </row>
    <row r="11" spans="1:28" x14ac:dyDescent="0.2">
      <c r="A11" s="1">
        <v>9</v>
      </c>
      <c r="B11">
        <v>1170269</v>
      </c>
      <c r="C11" t="s">
        <v>36</v>
      </c>
      <c r="D11" t="s">
        <v>676</v>
      </c>
      <c r="E11" t="str">
        <f>"0878930116"</f>
        <v>0878930116</v>
      </c>
      <c r="F11" t="str">
        <f>"9780878930111"</f>
        <v>9780878930111</v>
      </c>
      <c r="G11">
        <v>0</v>
      </c>
      <c r="H11">
        <v>4.07</v>
      </c>
      <c r="I11" t="s">
        <v>1171</v>
      </c>
      <c r="J11" t="s">
        <v>1509</v>
      </c>
      <c r="K11">
        <v>543</v>
      </c>
      <c r="L11">
        <v>2001</v>
      </c>
      <c r="M11">
        <v>1975</v>
      </c>
      <c r="O11" t="s">
        <v>1571</v>
      </c>
      <c r="P11" t="s">
        <v>1711</v>
      </c>
      <c r="T11">
        <v>0</v>
      </c>
      <c r="W11">
        <v>0</v>
      </c>
    </row>
    <row r="12" spans="1:28" x14ac:dyDescent="0.2">
      <c r="A12" s="1">
        <v>10</v>
      </c>
      <c r="B12">
        <v>1467199</v>
      </c>
      <c r="C12" t="s">
        <v>37</v>
      </c>
      <c r="D12" t="s">
        <v>677</v>
      </c>
      <c r="E12" t="str">
        <f>"1410214206"</f>
        <v>1410214206</v>
      </c>
      <c r="F12" t="str">
        <f>"9781410214201"</f>
        <v>9781410214201</v>
      </c>
      <c r="G12">
        <v>0</v>
      </c>
      <c r="H12">
        <v>4.12</v>
      </c>
      <c r="I12" t="s">
        <v>1172</v>
      </c>
      <c r="J12" t="s">
        <v>1507</v>
      </c>
      <c r="K12">
        <v>472</v>
      </c>
      <c r="L12">
        <v>2004</v>
      </c>
      <c r="M12">
        <v>1872</v>
      </c>
      <c r="O12" t="s">
        <v>1571</v>
      </c>
      <c r="P12" t="s">
        <v>1711</v>
      </c>
      <c r="T12">
        <v>0</v>
      </c>
      <c r="W12">
        <v>0</v>
      </c>
    </row>
    <row r="13" spans="1:28" x14ac:dyDescent="0.2">
      <c r="A13" s="1">
        <v>11</v>
      </c>
      <c r="B13">
        <v>1045675</v>
      </c>
      <c r="C13" t="s">
        <v>38</v>
      </c>
      <c r="D13" t="s">
        <v>678</v>
      </c>
      <c r="E13" t="str">
        <f>"1887813128"</f>
        <v>1887813128</v>
      </c>
      <c r="F13" t="str">
        <f>"9781887813129"</f>
        <v>9781887813129</v>
      </c>
      <c r="G13">
        <v>0</v>
      </c>
      <c r="H13">
        <v>4.26</v>
      </c>
      <c r="I13" t="s">
        <v>1173</v>
      </c>
      <c r="J13" t="s">
        <v>1509</v>
      </c>
      <c r="K13">
        <v>406</v>
      </c>
      <c r="L13">
        <v>1996</v>
      </c>
      <c r="M13">
        <v>1939</v>
      </c>
      <c r="O13" t="s">
        <v>1572</v>
      </c>
      <c r="P13" t="s">
        <v>1711</v>
      </c>
      <c r="T13">
        <v>0</v>
      </c>
      <c r="W13">
        <v>0</v>
      </c>
    </row>
    <row r="14" spans="1:28" x14ac:dyDescent="0.2">
      <c r="A14" s="1">
        <v>12</v>
      </c>
      <c r="B14">
        <v>415</v>
      </c>
      <c r="C14" t="s">
        <v>39</v>
      </c>
      <c r="D14" t="s">
        <v>679</v>
      </c>
      <c r="E14" t="str">
        <f>"0143039946"</f>
        <v>0143039946</v>
      </c>
      <c r="F14" t="str">
        <f>"9780143039945"</f>
        <v>9780143039945</v>
      </c>
      <c r="G14">
        <v>0</v>
      </c>
      <c r="H14">
        <v>3.97</v>
      </c>
      <c r="I14" t="s">
        <v>1174</v>
      </c>
      <c r="J14" t="s">
        <v>1507</v>
      </c>
      <c r="K14">
        <v>776</v>
      </c>
      <c r="L14">
        <v>2006</v>
      </c>
      <c r="M14">
        <v>1973</v>
      </c>
      <c r="O14" t="s">
        <v>1573</v>
      </c>
      <c r="P14" t="s">
        <v>1711</v>
      </c>
      <c r="T14">
        <v>0</v>
      </c>
      <c r="W14">
        <v>0</v>
      </c>
    </row>
    <row r="15" spans="1:28" x14ac:dyDescent="0.2">
      <c r="A15" s="1">
        <v>13</v>
      </c>
      <c r="B15">
        <v>6759</v>
      </c>
      <c r="C15" t="s">
        <v>40</v>
      </c>
      <c r="D15" t="s">
        <v>680</v>
      </c>
      <c r="E15" t="str">
        <f>"0316921173"</f>
        <v>0316921173</v>
      </c>
      <c r="F15" t="str">
        <f>"9780316921176"</f>
        <v>9780316921176</v>
      </c>
      <c r="G15">
        <v>0</v>
      </c>
      <c r="H15">
        <v>4.28</v>
      </c>
      <c r="I15" t="s">
        <v>1175</v>
      </c>
      <c r="J15" t="s">
        <v>1507</v>
      </c>
      <c r="K15">
        <v>1088</v>
      </c>
      <c r="L15">
        <v>2005</v>
      </c>
      <c r="M15">
        <v>1996</v>
      </c>
      <c r="O15" t="s">
        <v>1573</v>
      </c>
      <c r="P15" t="s">
        <v>1711</v>
      </c>
      <c r="T15">
        <v>0</v>
      </c>
      <c r="W15">
        <v>0</v>
      </c>
    </row>
    <row r="16" spans="1:28" x14ac:dyDescent="0.2">
      <c r="A16" s="1">
        <v>14</v>
      </c>
      <c r="B16">
        <v>3115359</v>
      </c>
      <c r="C16" t="s">
        <v>41</v>
      </c>
      <c r="D16" t="s">
        <v>681</v>
      </c>
      <c r="E16" t="str">
        <f>"0374100144"</f>
        <v>0374100144</v>
      </c>
      <c r="F16" t="str">
        <f>"9780374100148"</f>
        <v>9780374100148</v>
      </c>
      <c r="G16">
        <v>0</v>
      </c>
      <c r="H16">
        <v>4.1900000000000004</v>
      </c>
      <c r="I16" t="s">
        <v>1176</v>
      </c>
      <c r="J16" t="s">
        <v>1509</v>
      </c>
      <c r="K16">
        <v>898</v>
      </c>
      <c r="L16">
        <v>2008</v>
      </c>
      <c r="M16">
        <v>2004</v>
      </c>
      <c r="O16" t="s">
        <v>1573</v>
      </c>
      <c r="P16" t="s">
        <v>1711</v>
      </c>
      <c r="T16">
        <v>0</v>
      </c>
      <c r="W16">
        <v>0</v>
      </c>
    </row>
    <row r="17" spans="1:23" x14ac:dyDescent="0.2">
      <c r="A17" s="1">
        <v>15</v>
      </c>
      <c r="B17">
        <v>38212112</v>
      </c>
      <c r="C17" t="s">
        <v>42</v>
      </c>
      <c r="D17" t="s">
        <v>682</v>
      </c>
      <c r="E17" t="str">
        <f>"0393356175"</f>
        <v>0393356175</v>
      </c>
      <c r="F17" t="str">
        <f>"9780393356175"</f>
        <v>9780393356175</v>
      </c>
      <c r="G17">
        <v>0</v>
      </c>
      <c r="H17">
        <v>3.98</v>
      </c>
      <c r="I17" t="s">
        <v>1177</v>
      </c>
      <c r="J17" t="s">
        <v>1507</v>
      </c>
      <c r="K17">
        <v>368</v>
      </c>
      <c r="L17">
        <v>2018</v>
      </c>
      <c r="M17">
        <v>1978</v>
      </c>
      <c r="O17" t="s">
        <v>1574</v>
      </c>
      <c r="P17" t="s">
        <v>1711</v>
      </c>
      <c r="T17">
        <v>0</v>
      </c>
      <c r="W17">
        <v>0</v>
      </c>
    </row>
    <row r="18" spans="1:23" x14ac:dyDescent="0.2">
      <c r="A18" s="1">
        <v>16</v>
      </c>
      <c r="B18">
        <v>332613</v>
      </c>
      <c r="C18" t="s">
        <v>43</v>
      </c>
      <c r="D18" t="s">
        <v>683</v>
      </c>
      <c r="E18" t="str">
        <f>""</f>
        <v/>
      </c>
      <c r="F18" t="str">
        <f>""</f>
        <v/>
      </c>
      <c r="G18">
        <v>0</v>
      </c>
      <c r="H18">
        <v>4.1900000000000004</v>
      </c>
      <c r="I18" t="s">
        <v>1178</v>
      </c>
      <c r="J18" t="s">
        <v>1510</v>
      </c>
      <c r="K18">
        <v>325</v>
      </c>
      <c r="L18">
        <v>1963</v>
      </c>
      <c r="M18">
        <v>1962</v>
      </c>
      <c r="O18" t="s">
        <v>1575</v>
      </c>
      <c r="P18" t="s">
        <v>1711</v>
      </c>
      <c r="T18">
        <v>0</v>
      </c>
      <c r="W18">
        <v>0</v>
      </c>
    </row>
    <row r="19" spans="1:23" x14ac:dyDescent="0.2">
      <c r="A19" s="1">
        <v>17</v>
      </c>
      <c r="B19">
        <v>20694722</v>
      </c>
      <c r="C19" t="s">
        <v>44</v>
      </c>
      <c r="D19" t="s">
        <v>684</v>
      </c>
      <c r="E19" t="str">
        <f>"022610818X"</f>
        <v>022610818X</v>
      </c>
      <c r="F19" t="str">
        <f>"9780226108186"</f>
        <v>9780226108186</v>
      </c>
      <c r="G19">
        <v>0</v>
      </c>
      <c r="H19">
        <v>4.2</v>
      </c>
      <c r="I19" t="s">
        <v>1179</v>
      </c>
      <c r="J19" t="s">
        <v>1509</v>
      </c>
      <c r="K19">
        <v>328</v>
      </c>
      <c r="L19">
        <v>2014</v>
      </c>
      <c r="M19">
        <v>2014</v>
      </c>
      <c r="O19" t="s">
        <v>1575</v>
      </c>
      <c r="P19" t="s">
        <v>1711</v>
      </c>
      <c r="T19">
        <v>0</v>
      </c>
      <c r="W19">
        <v>0</v>
      </c>
    </row>
    <row r="20" spans="1:23" x14ac:dyDescent="0.2">
      <c r="A20" s="1">
        <v>18</v>
      </c>
      <c r="B20">
        <v>23019295</v>
      </c>
      <c r="C20" t="s">
        <v>45</v>
      </c>
      <c r="D20" t="s">
        <v>685</v>
      </c>
      <c r="E20" t="str">
        <f>"0062385321"</f>
        <v>0062385321</v>
      </c>
      <c r="F20" t="str">
        <f>"9780062385321"</f>
        <v>9780062385321</v>
      </c>
      <c r="G20">
        <v>2</v>
      </c>
      <c r="H20">
        <v>3.5</v>
      </c>
      <c r="I20" t="s">
        <v>1180</v>
      </c>
      <c r="J20" t="s">
        <v>1509</v>
      </c>
      <c r="K20">
        <v>387</v>
      </c>
      <c r="L20">
        <v>2015</v>
      </c>
      <c r="M20">
        <v>2015</v>
      </c>
      <c r="N20" t="s">
        <v>1518</v>
      </c>
      <c r="O20" t="s">
        <v>1576</v>
      </c>
      <c r="P20" t="s">
        <v>1713</v>
      </c>
      <c r="Q20" t="s">
        <v>1714</v>
      </c>
      <c r="T20">
        <v>1</v>
      </c>
      <c r="W20">
        <v>0</v>
      </c>
    </row>
    <row r="21" spans="1:23" x14ac:dyDescent="0.2">
      <c r="A21" s="1">
        <v>19</v>
      </c>
      <c r="B21">
        <v>30200112</v>
      </c>
      <c r="C21" t="s">
        <v>46</v>
      </c>
      <c r="D21" t="s">
        <v>686</v>
      </c>
      <c r="E21" t="str">
        <f>""</f>
        <v/>
      </c>
      <c r="F21" t="str">
        <f>""</f>
        <v/>
      </c>
      <c r="G21">
        <v>0</v>
      </c>
      <c r="H21">
        <v>4.45</v>
      </c>
      <c r="I21" t="s">
        <v>1181</v>
      </c>
      <c r="J21" t="s">
        <v>1511</v>
      </c>
      <c r="K21">
        <v>496</v>
      </c>
      <c r="L21">
        <v>2016</v>
      </c>
      <c r="M21">
        <v>2013</v>
      </c>
      <c r="O21" t="s">
        <v>1518</v>
      </c>
      <c r="P21" t="s">
        <v>1711</v>
      </c>
      <c r="T21">
        <v>0</v>
      </c>
      <c r="W21">
        <v>0</v>
      </c>
    </row>
    <row r="22" spans="1:23" x14ac:dyDescent="0.2">
      <c r="A22" s="1">
        <v>20</v>
      </c>
      <c r="B22">
        <v>50074593</v>
      </c>
      <c r="C22" t="s">
        <v>47</v>
      </c>
      <c r="D22" t="s">
        <v>687</v>
      </c>
      <c r="E22" t="str">
        <f>"1783527412"</f>
        <v>1783527412</v>
      </c>
      <c r="F22" t="str">
        <f>"9781783527410"</f>
        <v>9781783527410</v>
      </c>
      <c r="G22">
        <v>0</v>
      </c>
      <c r="H22">
        <v>3.73</v>
      </c>
      <c r="I22" t="s">
        <v>1182</v>
      </c>
      <c r="J22" t="s">
        <v>1509</v>
      </c>
      <c r="K22">
        <v>100</v>
      </c>
      <c r="L22">
        <v>2019</v>
      </c>
      <c r="M22">
        <v>1934</v>
      </c>
      <c r="O22" t="s">
        <v>1577</v>
      </c>
      <c r="P22" t="s">
        <v>1711</v>
      </c>
      <c r="T22">
        <v>0</v>
      </c>
      <c r="W22">
        <v>0</v>
      </c>
    </row>
    <row r="23" spans="1:23" x14ac:dyDescent="0.2">
      <c r="A23" s="1">
        <v>21</v>
      </c>
      <c r="B23">
        <v>88077</v>
      </c>
      <c r="C23" t="s">
        <v>48</v>
      </c>
      <c r="D23" t="s">
        <v>688</v>
      </c>
      <c r="E23" t="str">
        <f>"0679772871"</f>
        <v>0679772871</v>
      </c>
      <c r="F23" t="str">
        <f>"9780679772873"</f>
        <v>9780679772873</v>
      </c>
      <c r="G23">
        <v>0</v>
      </c>
      <c r="H23">
        <v>4.09</v>
      </c>
      <c r="I23" t="s">
        <v>1167</v>
      </c>
      <c r="J23" t="s">
        <v>1507</v>
      </c>
      <c r="K23">
        <v>706</v>
      </c>
      <c r="L23">
        <v>1996</v>
      </c>
      <c r="M23">
        <v>1924</v>
      </c>
      <c r="O23" t="s">
        <v>1578</v>
      </c>
      <c r="P23" t="s">
        <v>1711</v>
      </c>
      <c r="T23">
        <v>0</v>
      </c>
      <c r="W23">
        <v>0</v>
      </c>
    </row>
    <row r="24" spans="1:23" x14ac:dyDescent="0.2">
      <c r="A24" s="1">
        <v>22</v>
      </c>
      <c r="B24">
        <v>40121378</v>
      </c>
      <c r="C24" t="s">
        <v>49</v>
      </c>
      <c r="D24" t="s">
        <v>689</v>
      </c>
      <c r="E24" t="str">
        <f>""</f>
        <v/>
      </c>
      <c r="F24" t="str">
        <f>""</f>
        <v/>
      </c>
      <c r="G24">
        <v>0</v>
      </c>
      <c r="H24">
        <v>4.3499999999999996</v>
      </c>
      <c r="I24" t="s">
        <v>1183</v>
      </c>
      <c r="J24" t="s">
        <v>1511</v>
      </c>
      <c r="K24">
        <v>319</v>
      </c>
      <c r="L24">
        <v>2018</v>
      </c>
      <c r="M24">
        <v>2018</v>
      </c>
      <c r="O24" t="s">
        <v>1579</v>
      </c>
      <c r="P24" t="s">
        <v>1711</v>
      </c>
      <c r="T24">
        <v>0</v>
      </c>
      <c r="W24">
        <v>0</v>
      </c>
    </row>
    <row r="25" spans="1:23" x14ac:dyDescent="0.2">
      <c r="A25" s="1">
        <v>23</v>
      </c>
      <c r="B25">
        <v>45892235</v>
      </c>
      <c r="C25" t="s">
        <v>50</v>
      </c>
      <c r="D25" t="s">
        <v>690</v>
      </c>
      <c r="E25" t="str">
        <f>"0374287260"</f>
        <v>0374287260</v>
      </c>
      <c r="F25" t="str">
        <f>"9780374287269"</f>
        <v>9780374287269</v>
      </c>
      <c r="G25">
        <v>0</v>
      </c>
      <c r="H25">
        <v>4.25</v>
      </c>
      <c r="I25" t="s">
        <v>1176</v>
      </c>
      <c r="J25" t="s">
        <v>1509</v>
      </c>
      <c r="K25">
        <v>528</v>
      </c>
      <c r="L25">
        <v>2020</v>
      </c>
      <c r="M25">
        <v>2020</v>
      </c>
      <c r="O25" t="s">
        <v>1580</v>
      </c>
      <c r="P25" t="s">
        <v>1711</v>
      </c>
      <c r="T25">
        <v>0</v>
      </c>
      <c r="W25">
        <v>0</v>
      </c>
    </row>
    <row r="26" spans="1:23" x14ac:dyDescent="0.2">
      <c r="A26" s="1">
        <v>24</v>
      </c>
      <c r="B26">
        <v>28294</v>
      </c>
      <c r="C26" t="s">
        <v>51</v>
      </c>
      <c r="D26" t="s">
        <v>691</v>
      </c>
      <c r="E26" t="str">
        <f>"1567922961"</f>
        <v>1567922961</v>
      </c>
      <c r="F26" t="str">
        <f>"9781567922967"</f>
        <v>9781567922967</v>
      </c>
      <c r="G26">
        <v>0</v>
      </c>
      <c r="H26">
        <v>3.79</v>
      </c>
      <c r="I26" t="s">
        <v>1184</v>
      </c>
      <c r="J26" t="s">
        <v>1507</v>
      </c>
      <c r="K26">
        <v>284</v>
      </c>
      <c r="L26">
        <v>2005</v>
      </c>
      <c r="M26">
        <v>1969</v>
      </c>
      <c r="O26" t="s">
        <v>1581</v>
      </c>
      <c r="P26" t="s">
        <v>1711</v>
      </c>
      <c r="T26">
        <v>0</v>
      </c>
      <c r="W26">
        <v>0</v>
      </c>
    </row>
    <row r="27" spans="1:23" x14ac:dyDescent="0.2">
      <c r="A27" s="1">
        <v>25</v>
      </c>
      <c r="B27">
        <v>2206315</v>
      </c>
      <c r="C27" t="s">
        <v>52</v>
      </c>
      <c r="D27" t="s">
        <v>692</v>
      </c>
      <c r="E27" t="str">
        <f>"089037080X"</f>
        <v>089037080X</v>
      </c>
      <c r="F27" t="str">
        <f>"9780890370803"</f>
        <v>9780890370803</v>
      </c>
      <c r="G27">
        <v>0</v>
      </c>
      <c r="H27">
        <v>4</v>
      </c>
      <c r="M27">
        <v>1978</v>
      </c>
      <c r="O27" t="s">
        <v>1582</v>
      </c>
      <c r="P27" t="s">
        <v>1711</v>
      </c>
      <c r="T27">
        <v>0</v>
      </c>
      <c r="W27">
        <v>0</v>
      </c>
    </row>
    <row r="28" spans="1:23" x14ac:dyDescent="0.2">
      <c r="A28" s="1">
        <v>26</v>
      </c>
      <c r="B28">
        <v>52914599</v>
      </c>
      <c r="C28" t="s">
        <v>53</v>
      </c>
      <c r="D28" t="s">
        <v>693</v>
      </c>
      <c r="E28" t="str">
        <f>""</f>
        <v/>
      </c>
      <c r="F28" t="str">
        <f>"9781787383012"</f>
        <v>9781787383012</v>
      </c>
      <c r="G28">
        <v>0</v>
      </c>
      <c r="H28">
        <v>3.81</v>
      </c>
      <c r="I28" t="s">
        <v>1185</v>
      </c>
      <c r="J28" t="s">
        <v>1509</v>
      </c>
      <c r="K28">
        <v>208</v>
      </c>
      <c r="L28">
        <v>2020</v>
      </c>
      <c r="O28" t="s">
        <v>1583</v>
      </c>
      <c r="P28" t="s">
        <v>1711</v>
      </c>
      <c r="T28">
        <v>0</v>
      </c>
      <c r="W28">
        <v>0</v>
      </c>
    </row>
    <row r="29" spans="1:23" x14ac:dyDescent="0.2">
      <c r="A29" s="1">
        <v>27</v>
      </c>
      <c r="B29">
        <v>4017830</v>
      </c>
      <c r="C29" t="s">
        <v>54</v>
      </c>
      <c r="D29" t="s">
        <v>694</v>
      </c>
      <c r="E29" t="str">
        <f>"0195071786"</f>
        <v>0195071786</v>
      </c>
      <c r="F29" t="str">
        <f>"9780195071788"</f>
        <v>9780195071788</v>
      </c>
      <c r="G29">
        <v>0</v>
      </c>
      <c r="H29">
        <v>3.29</v>
      </c>
      <c r="I29" t="s">
        <v>1186</v>
      </c>
      <c r="J29" t="s">
        <v>1509</v>
      </c>
      <c r="K29">
        <v>400</v>
      </c>
      <c r="L29">
        <v>1993</v>
      </c>
      <c r="M29">
        <v>1993</v>
      </c>
      <c r="O29" t="s">
        <v>1584</v>
      </c>
      <c r="P29" t="s">
        <v>1711</v>
      </c>
      <c r="T29">
        <v>0</v>
      </c>
      <c r="W29">
        <v>0</v>
      </c>
    </row>
    <row r="30" spans="1:23" x14ac:dyDescent="0.2">
      <c r="A30" s="1">
        <v>28</v>
      </c>
      <c r="B30">
        <v>4420281</v>
      </c>
      <c r="C30" t="s">
        <v>55</v>
      </c>
      <c r="D30" t="s">
        <v>695</v>
      </c>
      <c r="E30" t="str">
        <f>""</f>
        <v/>
      </c>
      <c r="F30" t="str">
        <f>""</f>
        <v/>
      </c>
      <c r="G30">
        <v>0</v>
      </c>
      <c r="H30">
        <v>3.94</v>
      </c>
      <c r="I30" t="s">
        <v>1187</v>
      </c>
      <c r="J30" t="s">
        <v>1509</v>
      </c>
      <c r="K30">
        <v>304</v>
      </c>
      <c r="L30">
        <v>2008</v>
      </c>
      <c r="M30">
        <v>2008</v>
      </c>
      <c r="O30" t="s">
        <v>1585</v>
      </c>
      <c r="P30" t="s">
        <v>1711</v>
      </c>
      <c r="T30">
        <v>0</v>
      </c>
      <c r="W30">
        <v>0</v>
      </c>
    </row>
    <row r="31" spans="1:23" x14ac:dyDescent="0.2">
      <c r="A31" s="1">
        <v>29</v>
      </c>
      <c r="B31">
        <v>50088631</v>
      </c>
      <c r="C31" t="s">
        <v>56</v>
      </c>
      <c r="D31" t="s">
        <v>696</v>
      </c>
      <c r="E31" t="str">
        <f>"038554376X"</f>
        <v>038554376X</v>
      </c>
      <c r="F31" t="str">
        <f>"9780385543767"</f>
        <v>9780385543767</v>
      </c>
      <c r="G31">
        <v>0</v>
      </c>
      <c r="H31">
        <v>4.1500000000000004</v>
      </c>
      <c r="I31" t="s">
        <v>1188</v>
      </c>
      <c r="J31" t="s">
        <v>1509</v>
      </c>
      <c r="K31">
        <v>400</v>
      </c>
      <c r="L31">
        <v>2020</v>
      </c>
      <c r="M31">
        <v>2020</v>
      </c>
      <c r="O31" t="s">
        <v>1586</v>
      </c>
      <c r="P31" t="s">
        <v>1711</v>
      </c>
      <c r="T31">
        <v>0</v>
      </c>
      <c r="W31">
        <v>0</v>
      </c>
    </row>
    <row r="32" spans="1:23" x14ac:dyDescent="0.2">
      <c r="A32" s="1">
        <v>30</v>
      </c>
      <c r="B32">
        <v>9739365</v>
      </c>
      <c r="C32" t="s">
        <v>57</v>
      </c>
      <c r="D32" t="s">
        <v>697</v>
      </c>
      <c r="E32" t="str">
        <f>"031269945X"</f>
        <v>031269945X</v>
      </c>
      <c r="F32" t="str">
        <f>"9780312699451"</f>
        <v>9780312699451</v>
      </c>
      <c r="G32">
        <v>4</v>
      </c>
      <c r="H32">
        <v>4.04</v>
      </c>
      <c r="I32" t="s">
        <v>1189</v>
      </c>
      <c r="J32" t="s">
        <v>1509</v>
      </c>
      <c r="K32">
        <v>331</v>
      </c>
      <c r="L32">
        <v>2011</v>
      </c>
      <c r="M32">
        <v>2011</v>
      </c>
      <c r="O32" t="s">
        <v>1587</v>
      </c>
      <c r="P32" t="s">
        <v>1713</v>
      </c>
      <c r="T32">
        <v>1</v>
      </c>
      <c r="W32">
        <v>0</v>
      </c>
    </row>
    <row r="33" spans="1:23" x14ac:dyDescent="0.2">
      <c r="A33" s="1">
        <v>31</v>
      </c>
      <c r="B33">
        <v>3392039</v>
      </c>
      <c r="C33" t="s">
        <v>58</v>
      </c>
      <c r="D33" t="s">
        <v>698</v>
      </c>
      <c r="E33" t="str">
        <f>"1596915323"</f>
        <v>1596915323</v>
      </c>
      <c r="F33" t="str">
        <f>"9781596915329"</f>
        <v>9781596915329</v>
      </c>
      <c r="G33">
        <v>2</v>
      </c>
      <c r="H33">
        <v>3.57</v>
      </c>
      <c r="I33" t="s">
        <v>1190</v>
      </c>
      <c r="J33" t="s">
        <v>1509</v>
      </c>
      <c r="K33">
        <v>545</v>
      </c>
      <c r="L33">
        <v>2008</v>
      </c>
      <c r="M33">
        <v>2009</v>
      </c>
      <c r="O33" t="s">
        <v>1587</v>
      </c>
      <c r="P33" t="s">
        <v>1713</v>
      </c>
      <c r="T33">
        <v>1</v>
      </c>
      <c r="W33">
        <v>0</v>
      </c>
    </row>
    <row r="34" spans="1:23" x14ac:dyDescent="0.2">
      <c r="A34" s="1">
        <v>32</v>
      </c>
      <c r="B34">
        <v>55030</v>
      </c>
      <c r="C34" t="s">
        <v>59</v>
      </c>
      <c r="D34" t="s">
        <v>699</v>
      </c>
      <c r="E34" t="str">
        <f>"0375508325"</f>
        <v>0375508325</v>
      </c>
      <c r="F34" t="str">
        <f>"9780375508325"</f>
        <v>9780375508325</v>
      </c>
      <c r="G34">
        <v>3</v>
      </c>
      <c r="H34">
        <v>4.37</v>
      </c>
      <c r="I34" t="s">
        <v>1191</v>
      </c>
      <c r="J34" t="s">
        <v>1510</v>
      </c>
      <c r="K34">
        <v>384</v>
      </c>
      <c r="L34">
        <v>2002</v>
      </c>
      <c r="M34">
        <v>1980</v>
      </c>
      <c r="O34" t="s">
        <v>1587</v>
      </c>
      <c r="P34" t="s">
        <v>1713</v>
      </c>
      <c r="T34">
        <v>1</v>
      </c>
      <c r="W34">
        <v>0</v>
      </c>
    </row>
    <row r="35" spans="1:23" x14ac:dyDescent="0.2">
      <c r="A35" s="1">
        <v>33</v>
      </c>
      <c r="B35">
        <v>3869</v>
      </c>
      <c r="C35" t="s">
        <v>60</v>
      </c>
      <c r="D35" t="s">
        <v>700</v>
      </c>
      <c r="E35" t="str">
        <f>"0553380168"</f>
        <v>0553380168</v>
      </c>
      <c r="F35" t="str">
        <f>"9780553380163"</f>
        <v>9780553380163</v>
      </c>
      <c r="G35">
        <v>3</v>
      </c>
      <c r="H35">
        <v>4.18</v>
      </c>
      <c r="I35" t="s">
        <v>1192</v>
      </c>
      <c r="J35" t="s">
        <v>1507</v>
      </c>
      <c r="K35">
        <v>212</v>
      </c>
      <c r="L35">
        <v>1998</v>
      </c>
      <c r="M35">
        <v>1988</v>
      </c>
      <c r="O35" t="s">
        <v>1587</v>
      </c>
      <c r="P35" t="s">
        <v>1713</v>
      </c>
      <c r="T35">
        <v>1</v>
      </c>
      <c r="W35">
        <v>0</v>
      </c>
    </row>
    <row r="36" spans="1:23" x14ac:dyDescent="0.2">
      <c r="A36" s="1">
        <v>34</v>
      </c>
      <c r="B36">
        <v>8701960</v>
      </c>
      <c r="C36" t="s">
        <v>61</v>
      </c>
      <c r="D36" t="s">
        <v>701</v>
      </c>
      <c r="E36" t="str">
        <f>"0375423729"</f>
        <v>0375423729</v>
      </c>
      <c r="F36" t="str">
        <f>"9780375423727"</f>
        <v>9780375423727</v>
      </c>
      <c r="G36">
        <v>5</v>
      </c>
      <c r="H36">
        <v>4.01</v>
      </c>
      <c r="I36" t="s">
        <v>1193</v>
      </c>
      <c r="J36" t="s">
        <v>1509</v>
      </c>
      <c r="K36">
        <v>527</v>
      </c>
      <c r="L36">
        <v>2011</v>
      </c>
      <c r="M36">
        <v>2011</v>
      </c>
      <c r="O36" t="s">
        <v>1587</v>
      </c>
      <c r="P36" t="s">
        <v>1713</v>
      </c>
      <c r="T36">
        <v>1</v>
      </c>
      <c r="W36">
        <v>0</v>
      </c>
    </row>
    <row r="37" spans="1:23" x14ac:dyDescent="0.2">
      <c r="A37" s="1">
        <v>35</v>
      </c>
      <c r="B37">
        <v>6346975</v>
      </c>
      <c r="C37" t="s">
        <v>62</v>
      </c>
      <c r="D37" t="s">
        <v>702</v>
      </c>
      <c r="E37" t="str">
        <f>"159420229X"</f>
        <v>159420229X</v>
      </c>
      <c r="F37" t="str">
        <f>"9781594202292"</f>
        <v>9781594202292</v>
      </c>
      <c r="G37">
        <v>4</v>
      </c>
      <c r="H37">
        <v>3.88</v>
      </c>
      <c r="I37" t="s">
        <v>1194</v>
      </c>
      <c r="J37" t="s">
        <v>1509</v>
      </c>
      <c r="K37">
        <v>307</v>
      </c>
      <c r="L37">
        <v>2011</v>
      </c>
      <c r="M37">
        <v>2011</v>
      </c>
      <c r="O37" t="s">
        <v>1587</v>
      </c>
      <c r="P37" t="s">
        <v>1713</v>
      </c>
      <c r="T37">
        <v>1</v>
      </c>
      <c r="W37">
        <v>0</v>
      </c>
    </row>
    <row r="38" spans="1:23" x14ac:dyDescent="0.2">
      <c r="A38" s="1">
        <v>36</v>
      </c>
      <c r="B38">
        <v>21</v>
      </c>
      <c r="C38" t="s">
        <v>63</v>
      </c>
      <c r="D38" t="s">
        <v>703</v>
      </c>
      <c r="E38" t="str">
        <f>"076790818X"</f>
        <v>076790818X</v>
      </c>
      <c r="F38" t="str">
        <f>"9780767908184"</f>
        <v>9780767908184</v>
      </c>
      <c r="G38">
        <v>4</v>
      </c>
      <c r="H38">
        <v>4.2</v>
      </c>
      <c r="I38" t="s">
        <v>1195</v>
      </c>
      <c r="J38" t="s">
        <v>1507</v>
      </c>
      <c r="K38">
        <v>544</v>
      </c>
      <c r="L38">
        <v>2004</v>
      </c>
      <c r="M38">
        <v>2003</v>
      </c>
      <c r="O38" t="s">
        <v>1587</v>
      </c>
      <c r="P38" t="s">
        <v>1713</v>
      </c>
      <c r="T38">
        <v>1</v>
      </c>
      <c r="W38">
        <v>0</v>
      </c>
    </row>
    <row r="39" spans="1:23" x14ac:dyDescent="0.2">
      <c r="A39" s="1">
        <v>37</v>
      </c>
      <c r="B39">
        <v>363486</v>
      </c>
      <c r="C39" t="s">
        <v>64</v>
      </c>
      <c r="D39" t="s">
        <v>704</v>
      </c>
      <c r="E39" t="str">
        <f>"0700610294"</f>
        <v>0700610294</v>
      </c>
      <c r="F39" t="str">
        <f>"9780700610297"</f>
        <v>9780700610297</v>
      </c>
      <c r="G39">
        <v>2</v>
      </c>
      <c r="H39">
        <v>3.93</v>
      </c>
      <c r="I39" t="s">
        <v>1196</v>
      </c>
      <c r="J39" t="s">
        <v>1507</v>
      </c>
      <c r="K39">
        <v>422</v>
      </c>
      <c r="L39">
        <v>1998</v>
      </c>
      <c r="M39">
        <v>1998</v>
      </c>
      <c r="O39" t="s">
        <v>1587</v>
      </c>
      <c r="P39" t="s">
        <v>1713</v>
      </c>
      <c r="T39">
        <v>1</v>
      </c>
      <c r="W39">
        <v>0</v>
      </c>
    </row>
    <row r="40" spans="1:23" x14ac:dyDescent="0.2">
      <c r="A40" s="1">
        <v>38</v>
      </c>
      <c r="B40">
        <v>6117055</v>
      </c>
      <c r="C40" t="s">
        <v>65</v>
      </c>
      <c r="D40" t="s">
        <v>705</v>
      </c>
      <c r="E40" t="str">
        <f>"059306173X"</f>
        <v>059306173X</v>
      </c>
      <c r="F40" t="str">
        <f>"9780593061732"</f>
        <v>9780593061732</v>
      </c>
      <c r="G40">
        <v>3</v>
      </c>
      <c r="H40">
        <v>4.1500000000000004</v>
      </c>
      <c r="I40" t="s">
        <v>1197</v>
      </c>
      <c r="J40" t="s">
        <v>1509</v>
      </c>
      <c r="K40">
        <v>470</v>
      </c>
      <c r="L40">
        <v>2009</v>
      </c>
      <c r="M40">
        <v>2009</v>
      </c>
      <c r="O40" t="s">
        <v>1587</v>
      </c>
      <c r="P40" t="s">
        <v>1713</v>
      </c>
      <c r="T40">
        <v>1</v>
      </c>
      <c r="W40">
        <v>0</v>
      </c>
    </row>
    <row r="41" spans="1:23" x14ac:dyDescent="0.2">
      <c r="A41" s="1">
        <v>39</v>
      </c>
      <c r="B41">
        <v>431898</v>
      </c>
      <c r="C41" t="s">
        <v>66</v>
      </c>
      <c r="D41" t="s">
        <v>706</v>
      </c>
      <c r="E41" t="str">
        <f>"1400046955"</f>
        <v>1400046955</v>
      </c>
      <c r="F41" t="str">
        <f>"9781400046959"</f>
        <v>9781400046959</v>
      </c>
      <c r="G41">
        <v>3</v>
      </c>
      <c r="H41">
        <v>4.2</v>
      </c>
      <c r="I41" t="s">
        <v>1198</v>
      </c>
      <c r="J41" t="s">
        <v>1507</v>
      </c>
      <c r="K41">
        <v>384</v>
      </c>
      <c r="L41">
        <v>2003</v>
      </c>
      <c r="M41">
        <v>2001</v>
      </c>
      <c r="O41" t="s">
        <v>1587</v>
      </c>
      <c r="P41" t="s">
        <v>1713</v>
      </c>
      <c r="T41">
        <v>1</v>
      </c>
      <c r="W41">
        <v>0</v>
      </c>
    </row>
    <row r="42" spans="1:23" x14ac:dyDescent="0.2">
      <c r="A42" s="1">
        <v>40</v>
      </c>
      <c r="B42">
        <v>1303</v>
      </c>
      <c r="C42" t="s">
        <v>67</v>
      </c>
      <c r="D42" t="s">
        <v>707</v>
      </c>
      <c r="E42" t="str">
        <f>"0140280197"</f>
        <v>0140280197</v>
      </c>
      <c r="F42" t="str">
        <f>"9780140280197"</f>
        <v>9780140280197</v>
      </c>
      <c r="G42">
        <v>4</v>
      </c>
      <c r="H42">
        <v>4.1500000000000004</v>
      </c>
      <c r="I42" t="s">
        <v>1199</v>
      </c>
      <c r="J42" t="s">
        <v>1507</v>
      </c>
      <c r="K42">
        <v>452</v>
      </c>
      <c r="L42">
        <v>2000</v>
      </c>
      <c r="M42">
        <v>1998</v>
      </c>
      <c r="O42" t="s">
        <v>1587</v>
      </c>
      <c r="P42" t="s">
        <v>1713</v>
      </c>
      <c r="T42">
        <v>1</v>
      </c>
      <c r="W42">
        <v>0</v>
      </c>
    </row>
    <row r="43" spans="1:23" x14ac:dyDescent="0.2">
      <c r="A43" s="1">
        <v>41</v>
      </c>
      <c r="B43">
        <v>9755391</v>
      </c>
      <c r="C43" t="s">
        <v>68</v>
      </c>
      <c r="D43" t="s">
        <v>708</v>
      </c>
      <c r="E43" t="str">
        <f>"0553807579"</f>
        <v>0553807579</v>
      </c>
      <c r="F43" t="str">
        <f>"9780553807578"</f>
        <v>9780553807578</v>
      </c>
      <c r="G43">
        <v>2</v>
      </c>
      <c r="H43">
        <v>4.33</v>
      </c>
      <c r="I43" t="s">
        <v>1200</v>
      </c>
      <c r="J43" t="s">
        <v>1509</v>
      </c>
      <c r="K43">
        <v>280</v>
      </c>
      <c r="L43">
        <v>2011</v>
      </c>
      <c r="M43">
        <v>2011</v>
      </c>
      <c r="O43" t="s">
        <v>1587</v>
      </c>
      <c r="P43" t="s">
        <v>1713</v>
      </c>
      <c r="T43">
        <v>1</v>
      </c>
      <c r="W43">
        <v>0</v>
      </c>
    </row>
    <row r="44" spans="1:23" x14ac:dyDescent="0.2">
      <c r="A44" s="1">
        <v>42</v>
      </c>
      <c r="B44">
        <v>115587</v>
      </c>
      <c r="C44" t="s">
        <v>69</v>
      </c>
      <c r="D44" t="s">
        <v>709</v>
      </c>
      <c r="E44" t="str">
        <f>"0385339364"</f>
        <v>0385339364</v>
      </c>
      <c r="F44" t="str">
        <f>"9780385339360"</f>
        <v>9780385339360</v>
      </c>
      <c r="G44">
        <v>4</v>
      </c>
      <c r="H44">
        <v>4.1500000000000004</v>
      </c>
      <c r="I44" t="s">
        <v>1201</v>
      </c>
      <c r="J44" t="s">
        <v>1507</v>
      </c>
      <c r="K44">
        <v>324</v>
      </c>
      <c r="L44">
        <v>2005</v>
      </c>
      <c r="M44">
        <v>2002</v>
      </c>
      <c r="O44" t="s">
        <v>1587</v>
      </c>
      <c r="P44" t="s">
        <v>1713</v>
      </c>
      <c r="T44">
        <v>1</v>
      </c>
      <c r="W44">
        <v>0</v>
      </c>
    </row>
    <row r="45" spans="1:23" x14ac:dyDescent="0.2">
      <c r="A45" s="1">
        <v>43</v>
      </c>
      <c r="B45">
        <v>2334090</v>
      </c>
      <c r="C45" t="s">
        <v>70</v>
      </c>
      <c r="D45" t="s">
        <v>710</v>
      </c>
      <c r="E45" t="str">
        <f>"0498025411"</f>
        <v>0498025411</v>
      </c>
      <c r="F45" t="str">
        <f>"9780498025419"</f>
        <v>9780498025419</v>
      </c>
      <c r="G45">
        <v>3</v>
      </c>
      <c r="H45">
        <v>4</v>
      </c>
      <c r="I45" t="s">
        <v>1202</v>
      </c>
      <c r="J45" t="s">
        <v>1509</v>
      </c>
      <c r="K45">
        <v>273</v>
      </c>
      <c r="L45">
        <v>1981</v>
      </c>
      <c r="M45">
        <v>1981</v>
      </c>
      <c r="O45" t="s">
        <v>1587</v>
      </c>
      <c r="P45" t="s">
        <v>1713</v>
      </c>
      <c r="T45">
        <v>1</v>
      </c>
      <c r="W45">
        <v>0</v>
      </c>
    </row>
    <row r="46" spans="1:23" x14ac:dyDescent="0.2">
      <c r="A46" s="1">
        <v>44</v>
      </c>
      <c r="B46">
        <v>3228917</v>
      </c>
      <c r="C46" t="s">
        <v>71</v>
      </c>
      <c r="D46" t="s">
        <v>711</v>
      </c>
      <c r="E46" t="str">
        <f>"0316017922"</f>
        <v>0316017922</v>
      </c>
      <c r="F46" t="str">
        <f>"9780316017923"</f>
        <v>9780316017923</v>
      </c>
      <c r="G46">
        <v>3</v>
      </c>
      <c r="H46">
        <v>4.16</v>
      </c>
      <c r="I46" t="s">
        <v>1203</v>
      </c>
      <c r="J46" t="s">
        <v>1509</v>
      </c>
      <c r="K46">
        <v>309</v>
      </c>
      <c r="L46">
        <v>2008</v>
      </c>
      <c r="M46">
        <v>2008</v>
      </c>
      <c r="O46" t="s">
        <v>1587</v>
      </c>
      <c r="P46" t="s">
        <v>1713</v>
      </c>
      <c r="T46">
        <v>1</v>
      </c>
      <c r="W46">
        <v>0</v>
      </c>
    </row>
    <row r="47" spans="1:23" x14ac:dyDescent="0.2">
      <c r="A47" s="1">
        <v>45</v>
      </c>
      <c r="B47">
        <v>95734</v>
      </c>
      <c r="C47" t="s">
        <v>72</v>
      </c>
      <c r="D47" t="s">
        <v>712</v>
      </c>
      <c r="E47" t="str">
        <f>"1573229377"</f>
        <v>1573229377</v>
      </c>
      <c r="F47" t="str">
        <f>"9781573229371"</f>
        <v>9781573229371</v>
      </c>
      <c r="G47">
        <v>2</v>
      </c>
      <c r="H47">
        <v>4.09</v>
      </c>
      <c r="I47" t="s">
        <v>1204</v>
      </c>
      <c r="J47" t="s">
        <v>1507</v>
      </c>
      <c r="K47">
        <v>227</v>
      </c>
      <c r="L47">
        <v>2002</v>
      </c>
      <c r="M47">
        <v>2001</v>
      </c>
      <c r="O47" t="s">
        <v>1587</v>
      </c>
      <c r="P47" t="s">
        <v>1713</v>
      </c>
      <c r="T47">
        <v>1</v>
      </c>
      <c r="W47">
        <v>0</v>
      </c>
    </row>
    <row r="48" spans="1:23" x14ac:dyDescent="0.2">
      <c r="A48" s="1">
        <v>46</v>
      </c>
      <c r="B48">
        <v>4069</v>
      </c>
      <c r="C48" t="s">
        <v>73</v>
      </c>
      <c r="D48" t="s">
        <v>713</v>
      </c>
      <c r="E48" t="str">
        <f>"080701429X"</f>
        <v>080701429X</v>
      </c>
      <c r="F48" t="str">
        <f>"9780807014295"</f>
        <v>9780807014295</v>
      </c>
      <c r="G48">
        <v>3</v>
      </c>
      <c r="H48">
        <v>4.3600000000000003</v>
      </c>
      <c r="I48" t="s">
        <v>1205</v>
      </c>
      <c r="J48" t="s">
        <v>1507</v>
      </c>
      <c r="K48">
        <v>165</v>
      </c>
      <c r="L48">
        <v>2006</v>
      </c>
      <c r="M48">
        <v>1946</v>
      </c>
      <c r="O48" t="s">
        <v>1587</v>
      </c>
      <c r="P48" t="s">
        <v>1713</v>
      </c>
      <c r="T48">
        <v>1</v>
      </c>
      <c r="W48">
        <v>0</v>
      </c>
    </row>
    <row r="49" spans="1:23" x14ac:dyDescent="0.2">
      <c r="A49" s="1">
        <v>47</v>
      </c>
      <c r="B49">
        <v>1945282</v>
      </c>
      <c r="C49" t="s">
        <v>74</v>
      </c>
      <c r="D49" t="s">
        <v>714</v>
      </c>
      <c r="E49" t="str">
        <f>"0425053466"</f>
        <v>0425053466</v>
      </c>
      <c r="F49" t="str">
        <f>"9780425053461"</f>
        <v>9780425053461</v>
      </c>
      <c r="G49">
        <v>3</v>
      </c>
      <c r="H49">
        <v>4.0999999999999996</v>
      </c>
      <c r="I49" t="s">
        <v>1206</v>
      </c>
      <c r="J49" t="s">
        <v>1507</v>
      </c>
      <c r="K49">
        <v>0</v>
      </c>
      <c r="L49">
        <v>1982</v>
      </c>
      <c r="M49">
        <v>1980</v>
      </c>
      <c r="O49" t="s">
        <v>1587</v>
      </c>
      <c r="P49" t="s">
        <v>1713</v>
      </c>
      <c r="T49">
        <v>1</v>
      </c>
      <c r="W49">
        <v>0</v>
      </c>
    </row>
    <row r="50" spans="1:23" x14ac:dyDescent="0.2">
      <c r="A50" s="1">
        <v>48</v>
      </c>
      <c r="B50">
        <v>937696</v>
      </c>
      <c r="C50" t="s">
        <v>75</v>
      </c>
      <c r="D50" t="s">
        <v>715</v>
      </c>
      <c r="E50" t="str">
        <f>"0891418725"</f>
        <v>0891418725</v>
      </c>
      <c r="F50" t="str">
        <f>"9780891418726"</f>
        <v>9780891418726</v>
      </c>
      <c r="G50">
        <v>3</v>
      </c>
      <c r="H50">
        <v>4.01</v>
      </c>
      <c r="I50" t="s">
        <v>1207</v>
      </c>
      <c r="J50" t="s">
        <v>1509</v>
      </c>
      <c r="K50">
        <v>379</v>
      </c>
      <c r="L50">
        <v>2005</v>
      </c>
      <c r="M50">
        <v>2005</v>
      </c>
      <c r="O50" t="s">
        <v>1587</v>
      </c>
      <c r="P50" t="s">
        <v>1713</v>
      </c>
      <c r="T50">
        <v>1</v>
      </c>
      <c r="W50">
        <v>0</v>
      </c>
    </row>
    <row r="51" spans="1:23" x14ac:dyDescent="0.2">
      <c r="A51" s="1">
        <v>49</v>
      </c>
      <c r="B51">
        <v>13160142</v>
      </c>
      <c r="C51" t="s">
        <v>76</v>
      </c>
      <c r="D51" t="s">
        <v>716</v>
      </c>
      <c r="E51" t="str">
        <f>"0310330718"</f>
        <v>0310330718</v>
      </c>
      <c r="F51" t="str">
        <f>"9780310330714"</f>
        <v>9780310330714</v>
      </c>
      <c r="G51">
        <v>1</v>
      </c>
      <c r="H51">
        <v>4.16</v>
      </c>
      <c r="I51" t="s">
        <v>1208</v>
      </c>
      <c r="J51" t="s">
        <v>1509</v>
      </c>
      <c r="K51">
        <v>224</v>
      </c>
      <c r="L51">
        <v>2012</v>
      </c>
      <c r="M51">
        <v>2011</v>
      </c>
      <c r="O51" t="s">
        <v>1587</v>
      </c>
      <c r="P51" t="s">
        <v>1713</v>
      </c>
      <c r="T51">
        <v>1</v>
      </c>
      <c r="W51">
        <v>0</v>
      </c>
    </row>
    <row r="52" spans="1:23" x14ac:dyDescent="0.2">
      <c r="A52" s="1">
        <v>50</v>
      </c>
      <c r="B52">
        <v>17098</v>
      </c>
      <c r="C52" t="s">
        <v>77</v>
      </c>
      <c r="D52" t="s">
        <v>701</v>
      </c>
      <c r="E52" t="str">
        <f>"1400032954"</f>
        <v>1400032954</v>
      </c>
      <c r="F52" t="str">
        <f>"9781400032952"</f>
        <v>9781400032952</v>
      </c>
      <c r="G52">
        <v>2</v>
      </c>
      <c r="H52">
        <v>3.76</v>
      </c>
      <c r="I52" t="s">
        <v>1167</v>
      </c>
      <c r="J52" t="s">
        <v>1507</v>
      </c>
      <c r="K52">
        <v>288</v>
      </c>
      <c r="L52">
        <v>2004</v>
      </c>
      <c r="M52">
        <v>2003</v>
      </c>
      <c r="O52" t="s">
        <v>1587</v>
      </c>
      <c r="P52" t="s">
        <v>1713</v>
      </c>
      <c r="T52">
        <v>1</v>
      </c>
      <c r="W52">
        <v>0</v>
      </c>
    </row>
    <row r="53" spans="1:23" x14ac:dyDescent="0.2">
      <c r="A53" s="1">
        <v>51</v>
      </c>
      <c r="B53">
        <v>12296</v>
      </c>
      <c r="C53" t="s">
        <v>78</v>
      </c>
      <c r="D53" t="s">
        <v>717</v>
      </c>
      <c r="E53" t="str">
        <f>"0142437263"</f>
        <v>0142437263</v>
      </c>
      <c r="F53" t="str">
        <f>"9780142437261"</f>
        <v>9780142437261</v>
      </c>
      <c r="G53">
        <v>2</v>
      </c>
      <c r="H53">
        <v>3.41</v>
      </c>
      <c r="I53" t="s">
        <v>1174</v>
      </c>
      <c r="J53" t="s">
        <v>1507</v>
      </c>
      <c r="K53">
        <v>279</v>
      </c>
      <c r="L53">
        <v>2003</v>
      </c>
      <c r="M53">
        <v>1850</v>
      </c>
      <c r="O53" t="s">
        <v>1587</v>
      </c>
      <c r="P53" t="s">
        <v>1713</v>
      </c>
      <c r="T53">
        <v>1</v>
      </c>
      <c r="W53">
        <v>0</v>
      </c>
    </row>
    <row r="54" spans="1:23" x14ac:dyDescent="0.2">
      <c r="A54" s="1">
        <v>52</v>
      </c>
      <c r="B54">
        <v>49552</v>
      </c>
      <c r="C54" t="s">
        <v>79</v>
      </c>
      <c r="D54" t="s">
        <v>718</v>
      </c>
      <c r="E54" t="str">
        <f>""</f>
        <v/>
      </c>
      <c r="F54" t="str">
        <f>""</f>
        <v/>
      </c>
      <c r="G54">
        <v>2</v>
      </c>
      <c r="H54">
        <v>3.99</v>
      </c>
      <c r="I54" t="s">
        <v>1209</v>
      </c>
      <c r="J54" t="s">
        <v>1507</v>
      </c>
      <c r="K54">
        <v>123</v>
      </c>
      <c r="L54">
        <v>1989</v>
      </c>
      <c r="M54">
        <v>1942</v>
      </c>
      <c r="O54" t="s">
        <v>1587</v>
      </c>
      <c r="P54" t="s">
        <v>1713</v>
      </c>
      <c r="T54">
        <v>1</v>
      </c>
      <c r="W54">
        <v>0</v>
      </c>
    </row>
    <row r="55" spans="1:23" x14ac:dyDescent="0.2">
      <c r="A55" s="1">
        <v>53</v>
      </c>
      <c r="B55">
        <v>7144</v>
      </c>
      <c r="C55" t="s">
        <v>80</v>
      </c>
      <c r="D55" t="s">
        <v>719</v>
      </c>
      <c r="E55" t="str">
        <f>"0143058142"</f>
        <v>0143058142</v>
      </c>
      <c r="F55" t="str">
        <f>"9780143058144"</f>
        <v>9780143058144</v>
      </c>
      <c r="G55">
        <v>4</v>
      </c>
      <c r="H55">
        <v>4.22</v>
      </c>
      <c r="I55" t="s">
        <v>1210</v>
      </c>
      <c r="J55" t="s">
        <v>1507</v>
      </c>
      <c r="K55">
        <v>671</v>
      </c>
      <c r="L55">
        <v>2002</v>
      </c>
      <c r="M55">
        <v>1866</v>
      </c>
      <c r="O55" t="s">
        <v>1587</v>
      </c>
      <c r="P55" t="s">
        <v>1713</v>
      </c>
      <c r="T55">
        <v>1</v>
      </c>
      <c r="W55">
        <v>0</v>
      </c>
    </row>
    <row r="56" spans="1:23" x14ac:dyDescent="0.2">
      <c r="A56" s="1">
        <v>54</v>
      </c>
      <c r="B56">
        <v>5695</v>
      </c>
      <c r="C56" t="s">
        <v>81</v>
      </c>
      <c r="D56" t="s">
        <v>719</v>
      </c>
      <c r="E56" t="str">
        <f>""</f>
        <v/>
      </c>
      <c r="F56" t="str">
        <f>""</f>
        <v/>
      </c>
      <c r="G56">
        <v>2</v>
      </c>
      <c r="H56">
        <v>4.28</v>
      </c>
      <c r="I56" t="s">
        <v>1167</v>
      </c>
      <c r="J56" t="s">
        <v>1507</v>
      </c>
      <c r="K56">
        <v>733</v>
      </c>
      <c r="L56">
        <v>1995</v>
      </c>
      <c r="M56">
        <v>1872</v>
      </c>
      <c r="O56" t="s">
        <v>1587</v>
      </c>
      <c r="P56" t="s">
        <v>1713</v>
      </c>
      <c r="T56">
        <v>1</v>
      </c>
      <c r="W56">
        <v>0</v>
      </c>
    </row>
    <row r="57" spans="1:23" x14ac:dyDescent="0.2">
      <c r="A57" s="1">
        <v>55</v>
      </c>
      <c r="B57">
        <v>1097</v>
      </c>
      <c r="C57" t="s">
        <v>82</v>
      </c>
      <c r="D57" t="s">
        <v>720</v>
      </c>
      <c r="E57" t="str">
        <f>"0060838582"</f>
        <v>0060838582</v>
      </c>
      <c r="F57" t="str">
        <f>"9780060838584"</f>
        <v>9780060838584</v>
      </c>
      <c r="G57">
        <v>2</v>
      </c>
      <c r="H57">
        <v>3.74</v>
      </c>
      <c r="I57" t="s">
        <v>1211</v>
      </c>
      <c r="J57" t="s">
        <v>1507</v>
      </c>
      <c r="K57">
        <v>399</v>
      </c>
      <c r="L57">
        <v>2005</v>
      </c>
      <c r="M57">
        <v>2001</v>
      </c>
      <c r="O57" t="s">
        <v>1587</v>
      </c>
      <c r="P57" t="s">
        <v>1713</v>
      </c>
      <c r="T57">
        <v>1</v>
      </c>
      <c r="W57">
        <v>0</v>
      </c>
    </row>
    <row r="58" spans="1:23" x14ac:dyDescent="0.2">
      <c r="A58" s="1">
        <v>56</v>
      </c>
      <c r="B58">
        <v>30659</v>
      </c>
      <c r="C58" t="s">
        <v>83</v>
      </c>
      <c r="D58" t="s">
        <v>721</v>
      </c>
      <c r="E58" t="str">
        <f>"0140449337"</f>
        <v>0140449337</v>
      </c>
      <c r="F58" t="str">
        <f>"9780140449334"</f>
        <v>9780140449334</v>
      </c>
      <c r="G58">
        <v>5</v>
      </c>
      <c r="H58">
        <v>4.22</v>
      </c>
      <c r="I58" t="s">
        <v>1174</v>
      </c>
      <c r="J58" t="s">
        <v>1507</v>
      </c>
      <c r="K58">
        <v>303</v>
      </c>
      <c r="L58">
        <v>2006</v>
      </c>
      <c r="M58">
        <v>180</v>
      </c>
      <c r="O58" t="s">
        <v>1587</v>
      </c>
      <c r="P58" t="s">
        <v>1713</v>
      </c>
      <c r="T58">
        <v>1</v>
      </c>
      <c r="W58">
        <v>0</v>
      </c>
    </row>
    <row r="59" spans="1:23" x14ac:dyDescent="0.2">
      <c r="A59" s="1">
        <v>57</v>
      </c>
      <c r="B59">
        <v>36681373</v>
      </c>
      <c r="C59" t="s">
        <v>84</v>
      </c>
      <c r="D59" t="s">
        <v>514</v>
      </c>
      <c r="E59" t="str">
        <f>""</f>
        <v/>
      </c>
      <c r="F59" t="str">
        <f>""</f>
        <v/>
      </c>
      <c r="G59">
        <v>2</v>
      </c>
      <c r="H59">
        <v>3.93</v>
      </c>
      <c r="I59" t="s">
        <v>1212</v>
      </c>
      <c r="J59" t="s">
        <v>1511</v>
      </c>
      <c r="K59">
        <v>1063</v>
      </c>
      <c r="L59">
        <v>2017</v>
      </c>
      <c r="M59">
        <v>1519</v>
      </c>
      <c r="O59" t="s">
        <v>1587</v>
      </c>
      <c r="P59" t="s">
        <v>1713</v>
      </c>
      <c r="T59">
        <v>1</v>
      </c>
      <c r="W59">
        <v>0</v>
      </c>
    </row>
    <row r="60" spans="1:23" x14ac:dyDescent="0.2">
      <c r="A60" s="1">
        <v>58</v>
      </c>
      <c r="B60">
        <v>3690</v>
      </c>
      <c r="C60" t="s">
        <v>85</v>
      </c>
      <c r="D60" t="s">
        <v>722</v>
      </c>
      <c r="E60" t="str">
        <f>"0142437301"</f>
        <v>0142437301</v>
      </c>
      <c r="F60" t="str">
        <f>"9780142437308"</f>
        <v>9780142437308</v>
      </c>
      <c r="G60">
        <v>3</v>
      </c>
      <c r="H60">
        <v>3.96</v>
      </c>
      <c r="I60" t="s">
        <v>1174</v>
      </c>
      <c r="J60" t="s">
        <v>1507</v>
      </c>
      <c r="K60">
        <v>222</v>
      </c>
      <c r="L60">
        <v>2003</v>
      </c>
      <c r="M60">
        <v>1940</v>
      </c>
      <c r="O60" t="s">
        <v>1587</v>
      </c>
      <c r="P60" t="s">
        <v>1713</v>
      </c>
      <c r="T60">
        <v>1</v>
      </c>
      <c r="W60">
        <v>0</v>
      </c>
    </row>
    <row r="61" spans="1:23" x14ac:dyDescent="0.2">
      <c r="A61" s="1">
        <v>59</v>
      </c>
      <c r="B61">
        <v>111300</v>
      </c>
      <c r="C61" t="s">
        <v>86</v>
      </c>
      <c r="D61" t="s">
        <v>723</v>
      </c>
      <c r="E61" t="str">
        <f>"0141185503"</f>
        <v>0141185503</v>
      </c>
      <c r="F61" t="str">
        <f>"9780141185507"</f>
        <v>9780141185507</v>
      </c>
      <c r="G61">
        <v>2</v>
      </c>
      <c r="H61">
        <v>3.94</v>
      </c>
      <c r="I61" t="s">
        <v>1213</v>
      </c>
      <c r="J61" t="s">
        <v>1507</v>
      </c>
      <c r="K61">
        <v>240</v>
      </c>
      <c r="L61">
        <v>2000</v>
      </c>
      <c r="M61">
        <v>1933</v>
      </c>
      <c r="O61" t="s">
        <v>1587</v>
      </c>
      <c r="P61" t="s">
        <v>1713</v>
      </c>
      <c r="T61">
        <v>1</v>
      </c>
      <c r="W61">
        <v>0</v>
      </c>
    </row>
    <row r="62" spans="1:23" x14ac:dyDescent="0.2">
      <c r="A62" s="1">
        <v>60</v>
      </c>
      <c r="B62">
        <v>5470</v>
      </c>
      <c r="C62" t="s">
        <v>87</v>
      </c>
      <c r="D62" t="s">
        <v>724</v>
      </c>
      <c r="E62" t="str">
        <f>""</f>
        <v/>
      </c>
      <c r="F62" t="str">
        <f>""</f>
        <v/>
      </c>
      <c r="G62">
        <v>3</v>
      </c>
      <c r="H62">
        <v>4.1900000000000004</v>
      </c>
      <c r="I62" t="s">
        <v>1214</v>
      </c>
      <c r="J62" t="s">
        <v>1510</v>
      </c>
      <c r="K62">
        <v>328</v>
      </c>
      <c r="L62">
        <v>1950</v>
      </c>
      <c r="M62">
        <v>1949</v>
      </c>
      <c r="O62" t="s">
        <v>1587</v>
      </c>
      <c r="P62" t="s">
        <v>1713</v>
      </c>
      <c r="T62">
        <v>1</v>
      </c>
      <c r="W62">
        <v>0</v>
      </c>
    </row>
    <row r="63" spans="1:23" x14ac:dyDescent="0.2">
      <c r="A63" s="1">
        <v>61</v>
      </c>
      <c r="B63">
        <v>7624</v>
      </c>
      <c r="C63" t="s">
        <v>88</v>
      </c>
      <c r="D63" t="s">
        <v>725</v>
      </c>
      <c r="E63" t="str">
        <f>"0140283331"</f>
        <v>0140283331</v>
      </c>
      <c r="F63" t="str">
        <f>"9780140283334"</f>
        <v>9780140283334</v>
      </c>
      <c r="G63">
        <v>2</v>
      </c>
      <c r="H63">
        <v>3.69</v>
      </c>
      <c r="I63" t="s">
        <v>1215</v>
      </c>
      <c r="J63" t="s">
        <v>1507</v>
      </c>
      <c r="K63">
        <v>182</v>
      </c>
      <c r="L63">
        <v>1999</v>
      </c>
      <c r="M63">
        <v>1954</v>
      </c>
      <c r="O63" t="s">
        <v>1587</v>
      </c>
      <c r="P63" t="s">
        <v>1713</v>
      </c>
      <c r="T63">
        <v>1</v>
      </c>
      <c r="W63">
        <v>0</v>
      </c>
    </row>
    <row r="64" spans="1:23" x14ac:dyDescent="0.2">
      <c r="A64" s="1">
        <v>62</v>
      </c>
      <c r="B64">
        <v>43536</v>
      </c>
      <c r="C64" t="s">
        <v>89</v>
      </c>
      <c r="D64" t="s">
        <v>726</v>
      </c>
      <c r="E64" t="str">
        <f>"0809230410"</f>
        <v>0809230410</v>
      </c>
      <c r="F64" t="str">
        <f>"9780809230419"</f>
        <v>9780809230419</v>
      </c>
      <c r="G64">
        <v>3</v>
      </c>
      <c r="H64">
        <v>4.46</v>
      </c>
      <c r="I64" t="s">
        <v>1216</v>
      </c>
      <c r="J64" t="s">
        <v>1509</v>
      </c>
      <c r="K64">
        <v>201</v>
      </c>
      <c r="L64">
        <v>1997</v>
      </c>
      <c r="M64">
        <v>1997</v>
      </c>
      <c r="O64" t="s">
        <v>1587</v>
      </c>
      <c r="P64" t="s">
        <v>1713</v>
      </c>
      <c r="T64">
        <v>1</v>
      </c>
      <c r="W64">
        <v>0</v>
      </c>
    </row>
    <row r="65" spans="1:23" x14ac:dyDescent="0.2">
      <c r="A65" s="1">
        <v>63</v>
      </c>
      <c r="B65">
        <v>48757</v>
      </c>
      <c r="C65" t="s">
        <v>90</v>
      </c>
      <c r="D65" t="s">
        <v>727</v>
      </c>
      <c r="E65" t="str">
        <f>"1405204265"</f>
        <v>1405204265</v>
      </c>
      <c r="F65" t="str">
        <f>"9781405204262"</f>
        <v>9781405204262</v>
      </c>
      <c r="G65">
        <v>2</v>
      </c>
      <c r="H65">
        <v>3.99</v>
      </c>
      <c r="I65" t="s">
        <v>1217</v>
      </c>
      <c r="J65" t="s">
        <v>1507</v>
      </c>
      <c r="K65">
        <v>176</v>
      </c>
      <c r="L65">
        <v>2003</v>
      </c>
      <c r="M65">
        <v>1982</v>
      </c>
      <c r="O65" t="s">
        <v>1587</v>
      </c>
      <c r="P65" t="s">
        <v>1713</v>
      </c>
      <c r="T65">
        <v>1</v>
      </c>
      <c r="W65">
        <v>0</v>
      </c>
    </row>
    <row r="66" spans="1:23" x14ac:dyDescent="0.2">
      <c r="A66" s="1">
        <v>64</v>
      </c>
      <c r="B66">
        <v>12917124</v>
      </c>
      <c r="C66" t="s">
        <v>91</v>
      </c>
      <c r="D66" t="s">
        <v>728</v>
      </c>
      <c r="E66" t="str">
        <f>"0307887170"</f>
        <v>0307887170</v>
      </c>
      <c r="F66" t="str">
        <f>"9780307887177"</f>
        <v>9780307887177</v>
      </c>
      <c r="G66">
        <v>2</v>
      </c>
      <c r="H66">
        <v>4.0999999999999996</v>
      </c>
      <c r="I66" t="s">
        <v>1218</v>
      </c>
      <c r="J66" t="s">
        <v>1509</v>
      </c>
      <c r="K66">
        <v>368</v>
      </c>
      <c r="L66">
        <v>2012</v>
      </c>
      <c r="M66">
        <v>2012</v>
      </c>
      <c r="O66" t="s">
        <v>1587</v>
      </c>
      <c r="P66" t="s">
        <v>1713</v>
      </c>
      <c r="T66">
        <v>1</v>
      </c>
      <c r="W66">
        <v>0</v>
      </c>
    </row>
    <row r="67" spans="1:23" x14ac:dyDescent="0.2">
      <c r="A67" s="1">
        <v>65</v>
      </c>
      <c r="B67">
        <v>386162</v>
      </c>
      <c r="C67" t="s">
        <v>92</v>
      </c>
      <c r="D67" t="s">
        <v>729</v>
      </c>
      <c r="E67" t="str">
        <f>""</f>
        <v/>
      </c>
      <c r="F67" t="str">
        <f>""</f>
        <v/>
      </c>
      <c r="G67">
        <v>1</v>
      </c>
      <c r="H67">
        <v>4.22</v>
      </c>
      <c r="I67" t="s">
        <v>1219</v>
      </c>
      <c r="J67" t="s">
        <v>1507</v>
      </c>
      <c r="K67">
        <v>193</v>
      </c>
      <c r="L67">
        <v>2007</v>
      </c>
      <c r="M67">
        <v>1979</v>
      </c>
      <c r="O67" t="s">
        <v>1587</v>
      </c>
      <c r="P67" t="s">
        <v>1713</v>
      </c>
      <c r="T67">
        <v>1</v>
      </c>
      <c r="W67">
        <v>0</v>
      </c>
    </row>
    <row r="68" spans="1:23" x14ac:dyDescent="0.2">
      <c r="A68" s="1">
        <v>66</v>
      </c>
      <c r="B68">
        <v>242472</v>
      </c>
      <c r="C68" t="s">
        <v>93</v>
      </c>
      <c r="D68" t="s">
        <v>730</v>
      </c>
      <c r="E68" t="str">
        <f>"1400063515"</f>
        <v>1400063515</v>
      </c>
      <c r="F68" t="str">
        <f>"9781400063512"</f>
        <v>9781400063512</v>
      </c>
      <c r="G68">
        <v>4</v>
      </c>
      <c r="H68">
        <v>3.94</v>
      </c>
      <c r="I68" t="s">
        <v>1220</v>
      </c>
      <c r="J68" t="s">
        <v>1509</v>
      </c>
      <c r="K68">
        <v>366</v>
      </c>
      <c r="L68">
        <v>2007</v>
      </c>
      <c r="M68">
        <v>2007</v>
      </c>
      <c r="O68" t="s">
        <v>1587</v>
      </c>
      <c r="P68" t="s">
        <v>1713</v>
      </c>
      <c r="T68">
        <v>1</v>
      </c>
      <c r="W68">
        <v>0</v>
      </c>
    </row>
    <row r="69" spans="1:23" x14ac:dyDescent="0.2">
      <c r="A69" s="1">
        <v>67</v>
      </c>
      <c r="B69">
        <v>13530973</v>
      </c>
      <c r="C69" t="s">
        <v>94</v>
      </c>
      <c r="D69" t="s">
        <v>730</v>
      </c>
      <c r="E69" t="str">
        <f>"1400067820"</f>
        <v>1400067820</v>
      </c>
      <c r="F69" t="str">
        <f>"9781400067824"</f>
        <v>9781400067824</v>
      </c>
      <c r="G69">
        <v>4</v>
      </c>
      <c r="H69">
        <v>4.0999999999999996</v>
      </c>
      <c r="I69" t="s">
        <v>1191</v>
      </c>
      <c r="J69" t="s">
        <v>1509</v>
      </c>
      <c r="K69">
        <v>426</v>
      </c>
      <c r="L69">
        <v>2012</v>
      </c>
      <c r="M69">
        <v>2012</v>
      </c>
      <c r="O69" t="s">
        <v>1587</v>
      </c>
      <c r="P69" t="s">
        <v>1713</v>
      </c>
      <c r="T69">
        <v>1</v>
      </c>
      <c r="W69">
        <v>0</v>
      </c>
    </row>
    <row r="70" spans="1:23" x14ac:dyDescent="0.2">
      <c r="A70" s="1">
        <v>68</v>
      </c>
      <c r="B70">
        <v>38315</v>
      </c>
      <c r="C70" t="s">
        <v>95</v>
      </c>
      <c r="D70" t="s">
        <v>730</v>
      </c>
      <c r="E70" t="str">
        <f>"0812975219"</f>
        <v>0812975219</v>
      </c>
      <c r="F70" t="str">
        <f>"9780812975215"</f>
        <v>9780812975215</v>
      </c>
      <c r="G70">
        <v>4</v>
      </c>
      <c r="H70">
        <v>4.07</v>
      </c>
      <c r="I70" t="s">
        <v>1221</v>
      </c>
      <c r="J70" t="s">
        <v>1507</v>
      </c>
      <c r="K70">
        <v>368</v>
      </c>
      <c r="L70">
        <v>2005</v>
      </c>
      <c r="M70">
        <v>2001</v>
      </c>
      <c r="O70" t="s">
        <v>1587</v>
      </c>
      <c r="P70" t="s">
        <v>1713</v>
      </c>
      <c r="T70">
        <v>1</v>
      </c>
      <c r="W70">
        <v>0</v>
      </c>
    </row>
    <row r="71" spans="1:23" x14ac:dyDescent="0.2">
      <c r="A71" s="1">
        <v>69</v>
      </c>
      <c r="B71">
        <v>1305</v>
      </c>
      <c r="C71" t="s">
        <v>96</v>
      </c>
      <c r="D71" t="s">
        <v>731</v>
      </c>
      <c r="E71" t="str">
        <f>"055338368X"</f>
        <v>055338368X</v>
      </c>
      <c r="F71" t="str">
        <f>"9780553383683"</f>
        <v>9780553383683</v>
      </c>
      <c r="G71">
        <v>4</v>
      </c>
      <c r="H71">
        <v>4.4000000000000004</v>
      </c>
      <c r="I71" t="s">
        <v>1200</v>
      </c>
      <c r="J71" t="s">
        <v>1507</v>
      </c>
      <c r="K71">
        <v>392</v>
      </c>
      <c r="L71">
        <v>2005</v>
      </c>
      <c r="M71">
        <v>1998</v>
      </c>
      <c r="O71" t="s">
        <v>1587</v>
      </c>
      <c r="P71" t="s">
        <v>1713</v>
      </c>
      <c r="T71">
        <v>1</v>
      </c>
      <c r="W71">
        <v>0</v>
      </c>
    </row>
    <row r="72" spans="1:23" x14ac:dyDescent="0.2">
      <c r="A72" s="1">
        <v>70</v>
      </c>
      <c r="B72">
        <v>187181</v>
      </c>
      <c r="C72" t="s">
        <v>97</v>
      </c>
      <c r="D72" t="s">
        <v>732</v>
      </c>
      <c r="E72" t="str">
        <f>"0449213447"</f>
        <v>0449213447</v>
      </c>
      <c r="F72" t="str">
        <f>"9780449213445"</f>
        <v>9780449213445</v>
      </c>
      <c r="G72">
        <v>2</v>
      </c>
      <c r="H72">
        <v>4.04</v>
      </c>
      <c r="I72" t="s">
        <v>1222</v>
      </c>
      <c r="J72" t="s">
        <v>1510</v>
      </c>
      <c r="K72">
        <v>304</v>
      </c>
      <c r="L72">
        <v>1987</v>
      </c>
      <c r="M72">
        <v>1966</v>
      </c>
      <c r="O72" t="s">
        <v>1587</v>
      </c>
      <c r="P72" t="s">
        <v>1713</v>
      </c>
      <c r="T72">
        <v>1</v>
      </c>
      <c r="W72">
        <v>0</v>
      </c>
    </row>
    <row r="73" spans="1:23" x14ac:dyDescent="0.2">
      <c r="A73" s="1">
        <v>71</v>
      </c>
      <c r="B73">
        <v>414999</v>
      </c>
      <c r="C73" t="s">
        <v>98</v>
      </c>
      <c r="D73" t="s">
        <v>733</v>
      </c>
      <c r="E73" t="str">
        <f>""</f>
        <v/>
      </c>
      <c r="F73" t="str">
        <f>""</f>
        <v/>
      </c>
      <c r="G73">
        <v>3</v>
      </c>
      <c r="H73">
        <v>4.0999999999999996</v>
      </c>
      <c r="I73" t="s">
        <v>1223</v>
      </c>
      <c r="J73" t="s">
        <v>1510</v>
      </c>
      <c r="K73">
        <v>224</v>
      </c>
      <c r="L73">
        <v>1987</v>
      </c>
      <c r="M73">
        <v>1953</v>
      </c>
      <c r="O73" t="s">
        <v>1587</v>
      </c>
      <c r="P73" t="s">
        <v>1713</v>
      </c>
      <c r="T73">
        <v>1</v>
      </c>
      <c r="W73">
        <v>0</v>
      </c>
    </row>
    <row r="74" spans="1:23" x14ac:dyDescent="0.2">
      <c r="A74" s="1">
        <v>72</v>
      </c>
      <c r="B74">
        <v>865</v>
      </c>
      <c r="C74" t="s">
        <v>99</v>
      </c>
      <c r="D74" t="s">
        <v>734</v>
      </c>
      <c r="E74" t="str">
        <f>"0061122416"</f>
        <v>0061122416</v>
      </c>
      <c r="F74" t="str">
        <f>"9780061122415"</f>
        <v>9780061122415</v>
      </c>
      <c r="G74">
        <v>3</v>
      </c>
      <c r="H74">
        <v>3.88</v>
      </c>
      <c r="I74" t="s">
        <v>1224</v>
      </c>
      <c r="J74" t="s">
        <v>1507</v>
      </c>
      <c r="K74">
        <v>197</v>
      </c>
      <c r="L74">
        <v>1993</v>
      </c>
      <c r="M74">
        <v>1988</v>
      </c>
      <c r="O74" t="s">
        <v>1587</v>
      </c>
      <c r="P74" t="s">
        <v>1713</v>
      </c>
      <c r="T74">
        <v>1</v>
      </c>
      <c r="W74">
        <v>0</v>
      </c>
    </row>
    <row r="75" spans="1:23" x14ac:dyDescent="0.2">
      <c r="A75" s="1">
        <v>73</v>
      </c>
      <c r="B75">
        <v>55403</v>
      </c>
      <c r="C75" t="s">
        <v>100</v>
      </c>
      <c r="D75" t="s">
        <v>735</v>
      </c>
      <c r="E75" t="str">
        <f>"0871137380"</f>
        <v>0871137380</v>
      </c>
      <c r="F75" t="str">
        <f>"9780871137388"</f>
        <v>9780871137388</v>
      </c>
      <c r="G75">
        <v>3</v>
      </c>
      <c r="H75">
        <v>4.28</v>
      </c>
      <c r="I75" t="s">
        <v>1225</v>
      </c>
      <c r="J75" t="s">
        <v>1509</v>
      </c>
      <c r="K75">
        <v>386</v>
      </c>
      <c r="L75">
        <v>1999</v>
      </c>
      <c r="M75">
        <v>1999</v>
      </c>
      <c r="O75" t="s">
        <v>1587</v>
      </c>
      <c r="P75" t="s">
        <v>1713</v>
      </c>
      <c r="T75">
        <v>1</v>
      </c>
      <c r="W75">
        <v>0</v>
      </c>
    </row>
    <row r="76" spans="1:23" x14ac:dyDescent="0.2">
      <c r="A76" s="1">
        <v>74</v>
      </c>
      <c r="B76">
        <v>253272</v>
      </c>
      <c r="C76" t="s">
        <v>101</v>
      </c>
      <c r="D76" t="s">
        <v>714</v>
      </c>
      <c r="E76" t="str">
        <f>"0425101339"</f>
        <v>0425101339</v>
      </c>
      <c r="F76" t="str">
        <f>"9780425101339"</f>
        <v>9780425101339</v>
      </c>
      <c r="G76">
        <v>5</v>
      </c>
      <c r="H76">
        <v>4.18</v>
      </c>
      <c r="I76" t="s">
        <v>1169</v>
      </c>
      <c r="J76" t="s">
        <v>1507</v>
      </c>
      <c r="K76">
        <v>240</v>
      </c>
      <c r="L76">
        <v>1986</v>
      </c>
      <c r="M76">
        <v>1978</v>
      </c>
      <c r="O76" t="s">
        <v>1587</v>
      </c>
      <c r="P76" t="s">
        <v>1713</v>
      </c>
      <c r="T76">
        <v>1</v>
      </c>
      <c r="W76">
        <v>0</v>
      </c>
    </row>
    <row r="77" spans="1:23" x14ac:dyDescent="0.2">
      <c r="A77" s="1">
        <v>75</v>
      </c>
      <c r="B77">
        <v>34127824</v>
      </c>
      <c r="C77" t="s">
        <v>102</v>
      </c>
      <c r="D77" t="s">
        <v>736</v>
      </c>
      <c r="E77" t="str">
        <f>"1501145037"</f>
        <v>1501145037</v>
      </c>
      <c r="F77" t="str">
        <f>"9781501145032"</f>
        <v>9781501145032</v>
      </c>
      <c r="G77">
        <v>2</v>
      </c>
      <c r="H77">
        <v>4.42</v>
      </c>
      <c r="I77" t="s">
        <v>1226</v>
      </c>
      <c r="J77" t="s">
        <v>1509</v>
      </c>
      <c r="K77">
        <v>320</v>
      </c>
      <c r="L77">
        <v>2017</v>
      </c>
      <c r="M77">
        <v>2017</v>
      </c>
      <c r="O77" t="s">
        <v>1587</v>
      </c>
      <c r="P77" t="s">
        <v>1713</v>
      </c>
      <c r="T77">
        <v>1</v>
      </c>
      <c r="W77">
        <v>0</v>
      </c>
    </row>
    <row r="78" spans="1:23" x14ac:dyDescent="0.2">
      <c r="A78" s="1">
        <v>76</v>
      </c>
      <c r="B78">
        <v>1000990</v>
      </c>
      <c r="C78" t="s">
        <v>103</v>
      </c>
      <c r="D78" t="s">
        <v>737</v>
      </c>
      <c r="E78" t="str">
        <f>"0618494782"</f>
        <v>0618494782</v>
      </c>
      <c r="F78" t="str">
        <f>"9780618494781"</f>
        <v>9780618494781</v>
      </c>
      <c r="G78">
        <v>3</v>
      </c>
      <c r="H78">
        <v>3.62</v>
      </c>
      <c r="I78" t="s">
        <v>1227</v>
      </c>
      <c r="J78" t="s">
        <v>1507</v>
      </c>
      <c r="K78">
        <v>96</v>
      </c>
      <c r="L78">
        <v>2004</v>
      </c>
      <c r="M78">
        <v>2009</v>
      </c>
      <c r="O78" t="s">
        <v>1587</v>
      </c>
      <c r="P78" t="s">
        <v>1713</v>
      </c>
      <c r="T78">
        <v>1</v>
      </c>
      <c r="W78">
        <v>0</v>
      </c>
    </row>
    <row r="79" spans="1:23" x14ac:dyDescent="0.2">
      <c r="A79" s="1">
        <v>77</v>
      </c>
      <c r="B79">
        <v>24113</v>
      </c>
      <c r="C79" t="s">
        <v>104</v>
      </c>
      <c r="D79" t="s">
        <v>738</v>
      </c>
      <c r="E79" t="str">
        <f>"0465026567"</f>
        <v>0465026567</v>
      </c>
      <c r="F79" t="str">
        <f>"9780465026562"</f>
        <v>9780465026562</v>
      </c>
      <c r="G79">
        <v>5</v>
      </c>
      <c r="H79">
        <v>4.28</v>
      </c>
      <c r="I79" t="s">
        <v>1170</v>
      </c>
      <c r="J79" t="s">
        <v>1507</v>
      </c>
      <c r="K79">
        <v>777</v>
      </c>
      <c r="L79">
        <v>1999</v>
      </c>
      <c r="M79">
        <v>1979</v>
      </c>
      <c r="O79" t="s">
        <v>1587</v>
      </c>
      <c r="P79" t="s">
        <v>1713</v>
      </c>
      <c r="T79">
        <v>1</v>
      </c>
      <c r="W79">
        <v>0</v>
      </c>
    </row>
    <row r="80" spans="1:23" x14ac:dyDescent="0.2">
      <c r="A80" s="1">
        <v>78</v>
      </c>
      <c r="B80">
        <v>24396871</v>
      </c>
      <c r="C80" t="s">
        <v>105</v>
      </c>
      <c r="D80" t="s">
        <v>739</v>
      </c>
      <c r="E80" t="str">
        <f>"0316371769"</f>
        <v>0316371769</v>
      </c>
      <c r="F80" t="str">
        <f>"9780316371766"</f>
        <v>9780316371766</v>
      </c>
      <c r="G80">
        <v>3</v>
      </c>
      <c r="H80">
        <v>3.9</v>
      </c>
      <c r="I80" t="s">
        <v>1203</v>
      </c>
      <c r="J80" t="s">
        <v>1509</v>
      </c>
      <c r="K80">
        <v>560</v>
      </c>
      <c r="L80">
        <v>2015</v>
      </c>
      <c r="M80">
        <v>2015</v>
      </c>
      <c r="O80" t="s">
        <v>1587</v>
      </c>
      <c r="P80" t="s">
        <v>1713</v>
      </c>
      <c r="T80">
        <v>1</v>
      </c>
      <c r="W80">
        <v>0</v>
      </c>
    </row>
    <row r="81" spans="1:23" x14ac:dyDescent="0.2">
      <c r="A81" s="1">
        <v>79</v>
      </c>
      <c r="B81">
        <v>1103400</v>
      </c>
      <c r="C81" t="s">
        <v>106</v>
      </c>
      <c r="D81" t="s">
        <v>740</v>
      </c>
      <c r="E81" t="str">
        <f>"0446611824"</f>
        <v>0446611824</v>
      </c>
      <c r="F81" t="str">
        <f>"9780446611824"</f>
        <v>9780446611824</v>
      </c>
      <c r="G81">
        <v>2</v>
      </c>
      <c r="H81">
        <v>3.93</v>
      </c>
      <c r="I81" t="s">
        <v>1228</v>
      </c>
      <c r="J81" t="s">
        <v>1507</v>
      </c>
      <c r="K81">
        <v>528</v>
      </c>
      <c r="L81">
        <v>2002</v>
      </c>
      <c r="M81">
        <v>2001</v>
      </c>
      <c r="O81" t="s">
        <v>1587</v>
      </c>
      <c r="P81" t="s">
        <v>1713</v>
      </c>
      <c r="T81">
        <v>1</v>
      </c>
      <c r="W81">
        <v>0</v>
      </c>
    </row>
    <row r="82" spans="1:23" x14ac:dyDescent="0.2">
      <c r="A82" s="1">
        <v>80</v>
      </c>
      <c r="B82">
        <v>5720</v>
      </c>
      <c r="C82" t="s">
        <v>107</v>
      </c>
      <c r="D82" t="s">
        <v>741</v>
      </c>
      <c r="E82" t="str">
        <f>"0425170349"</f>
        <v>0425170349</v>
      </c>
      <c r="F82" t="str">
        <f>"9780425170342"</f>
        <v>9780425170342</v>
      </c>
      <c r="G82">
        <v>4</v>
      </c>
      <c r="H82">
        <v>4.09</v>
      </c>
      <c r="I82" t="s">
        <v>1229</v>
      </c>
      <c r="J82" t="s">
        <v>1510</v>
      </c>
      <c r="K82">
        <v>912</v>
      </c>
      <c r="L82">
        <v>1999</v>
      </c>
      <c r="M82">
        <v>1998</v>
      </c>
      <c r="O82" t="s">
        <v>1587</v>
      </c>
      <c r="P82" t="s">
        <v>1713</v>
      </c>
      <c r="T82">
        <v>1</v>
      </c>
      <c r="W82">
        <v>0</v>
      </c>
    </row>
    <row r="83" spans="1:23" x14ac:dyDescent="0.2">
      <c r="A83" s="1">
        <v>81</v>
      </c>
      <c r="B83">
        <v>19668</v>
      </c>
      <c r="C83" t="s">
        <v>108</v>
      </c>
      <c r="D83" t="s">
        <v>741</v>
      </c>
      <c r="E83" t="str">
        <f>"0425143325"</f>
        <v>0425143325</v>
      </c>
      <c r="F83" t="str">
        <f>"9780425143322"</f>
        <v>9780425143322</v>
      </c>
      <c r="G83">
        <v>4</v>
      </c>
      <c r="H83">
        <v>4.18</v>
      </c>
      <c r="I83" t="s">
        <v>1229</v>
      </c>
      <c r="J83" t="s">
        <v>1507</v>
      </c>
      <c r="K83">
        <v>750</v>
      </c>
      <c r="L83">
        <v>1994</v>
      </c>
      <c r="M83">
        <v>1993</v>
      </c>
      <c r="O83" t="s">
        <v>1587</v>
      </c>
      <c r="P83" t="s">
        <v>1713</v>
      </c>
      <c r="T83">
        <v>1</v>
      </c>
      <c r="W83">
        <v>0</v>
      </c>
    </row>
    <row r="84" spans="1:23" x14ac:dyDescent="0.2">
      <c r="A84" s="1">
        <v>82</v>
      </c>
      <c r="B84">
        <v>450248</v>
      </c>
      <c r="C84" t="s">
        <v>109</v>
      </c>
      <c r="D84" t="s">
        <v>742</v>
      </c>
      <c r="E84" t="str">
        <f>"0486241041"</f>
        <v>0486241041</v>
      </c>
      <c r="F84" t="str">
        <f>"9780486241043"</f>
        <v>9780486241043</v>
      </c>
      <c r="G84">
        <v>2</v>
      </c>
      <c r="H84">
        <v>4.1100000000000003</v>
      </c>
      <c r="I84" t="s">
        <v>1230</v>
      </c>
      <c r="J84" t="s">
        <v>1507</v>
      </c>
      <c r="K84">
        <v>482</v>
      </c>
      <c r="L84">
        <v>1981</v>
      </c>
      <c r="M84">
        <v>1959</v>
      </c>
      <c r="O84" t="s">
        <v>1587</v>
      </c>
      <c r="P84" t="s">
        <v>1713</v>
      </c>
      <c r="T84">
        <v>1</v>
      </c>
      <c r="W84">
        <v>0</v>
      </c>
    </row>
    <row r="85" spans="1:23" x14ac:dyDescent="0.2">
      <c r="A85" s="1">
        <v>83</v>
      </c>
      <c r="B85">
        <v>83882</v>
      </c>
      <c r="C85" t="s">
        <v>110</v>
      </c>
      <c r="D85" t="s">
        <v>743</v>
      </c>
      <c r="E85" t="str">
        <f>"048624864X"</f>
        <v>048624864X</v>
      </c>
      <c r="F85" t="str">
        <f>"9780486248646"</f>
        <v>9780486248646</v>
      </c>
      <c r="G85">
        <v>3</v>
      </c>
      <c r="H85">
        <v>3.69</v>
      </c>
      <c r="I85" t="s">
        <v>1230</v>
      </c>
      <c r="J85" t="s">
        <v>1507</v>
      </c>
      <c r="K85">
        <v>454</v>
      </c>
      <c r="L85">
        <v>1985</v>
      </c>
      <c r="M85">
        <v>1974</v>
      </c>
      <c r="O85" t="s">
        <v>1587</v>
      </c>
      <c r="P85" t="s">
        <v>1713</v>
      </c>
      <c r="T85">
        <v>1</v>
      </c>
      <c r="W85">
        <v>0</v>
      </c>
    </row>
    <row r="86" spans="1:23" x14ac:dyDescent="0.2">
      <c r="A86" s="1">
        <v>84</v>
      </c>
      <c r="B86">
        <v>13590828</v>
      </c>
      <c r="C86" t="s">
        <v>111</v>
      </c>
      <c r="D86" t="s">
        <v>744</v>
      </c>
      <c r="E86" t="str">
        <f>"1611760712"</f>
        <v>1611760712</v>
      </c>
      <c r="F86" t="str">
        <f>"9781611760712"</f>
        <v>9781611760712</v>
      </c>
      <c r="G86">
        <v>4</v>
      </c>
      <c r="H86">
        <v>3.82</v>
      </c>
      <c r="I86" t="s">
        <v>1231</v>
      </c>
      <c r="J86" t="s">
        <v>1512</v>
      </c>
      <c r="K86">
        <v>11</v>
      </c>
      <c r="L86">
        <v>2012</v>
      </c>
      <c r="M86">
        <v>2012</v>
      </c>
      <c r="O86" t="s">
        <v>1587</v>
      </c>
      <c r="P86" t="s">
        <v>1713</v>
      </c>
      <c r="T86">
        <v>1</v>
      </c>
      <c r="W86">
        <v>0</v>
      </c>
    </row>
    <row r="87" spans="1:23" x14ac:dyDescent="0.2">
      <c r="A87" s="1">
        <v>85</v>
      </c>
      <c r="B87">
        <v>31823677</v>
      </c>
      <c r="C87" t="s">
        <v>112</v>
      </c>
      <c r="D87" t="s">
        <v>745</v>
      </c>
      <c r="E87" t="str">
        <f>""</f>
        <v/>
      </c>
      <c r="F87" t="str">
        <f>""</f>
        <v/>
      </c>
      <c r="G87">
        <v>3</v>
      </c>
      <c r="H87">
        <v>4.09</v>
      </c>
      <c r="I87" t="s">
        <v>1232</v>
      </c>
      <c r="J87" t="s">
        <v>1511</v>
      </c>
      <c r="K87">
        <v>707</v>
      </c>
      <c r="L87">
        <v>2016</v>
      </c>
      <c r="M87">
        <v>2016</v>
      </c>
      <c r="O87" t="s">
        <v>1587</v>
      </c>
      <c r="P87" t="s">
        <v>1713</v>
      </c>
      <c r="T87">
        <v>1</v>
      </c>
      <c r="W87">
        <v>0</v>
      </c>
    </row>
    <row r="88" spans="1:23" x14ac:dyDescent="0.2">
      <c r="A88" s="1">
        <v>86</v>
      </c>
      <c r="B88">
        <v>19063</v>
      </c>
      <c r="C88" t="s">
        <v>113</v>
      </c>
      <c r="D88" t="s">
        <v>746</v>
      </c>
      <c r="E88" t="str">
        <f>"0375831002"</f>
        <v>0375831002</v>
      </c>
      <c r="F88" t="str">
        <f>"9780375831003"</f>
        <v>9780375831003</v>
      </c>
      <c r="G88">
        <v>4</v>
      </c>
      <c r="H88">
        <v>4.37</v>
      </c>
      <c r="I88" t="s">
        <v>1233</v>
      </c>
      <c r="J88" t="s">
        <v>1509</v>
      </c>
      <c r="K88">
        <v>552</v>
      </c>
      <c r="L88">
        <v>2006</v>
      </c>
      <c r="M88">
        <v>2005</v>
      </c>
      <c r="O88" t="s">
        <v>1587</v>
      </c>
      <c r="P88" t="s">
        <v>1713</v>
      </c>
      <c r="T88">
        <v>1</v>
      </c>
      <c r="W88">
        <v>0</v>
      </c>
    </row>
    <row r="89" spans="1:23" x14ac:dyDescent="0.2">
      <c r="A89" s="1">
        <v>87</v>
      </c>
      <c r="B89">
        <v>44882</v>
      </c>
      <c r="C89" t="s">
        <v>114</v>
      </c>
      <c r="D89" t="s">
        <v>747</v>
      </c>
      <c r="E89" t="str">
        <f>"0735611319"</f>
        <v>0735611319</v>
      </c>
      <c r="F89" t="str">
        <f>"9780735611313"</f>
        <v>9780735611313</v>
      </c>
      <c r="G89">
        <v>4</v>
      </c>
      <c r="H89">
        <v>4.4000000000000004</v>
      </c>
      <c r="I89" t="s">
        <v>1234</v>
      </c>
      <c r="J89" t="s">
        <v>1507</v>
      </c>
      <c r="K89">
        <v>400</v>
      </c>
      <c r="L89">
        <v>2000</v>
      </c>
      <c r="M89">
        <v>1999</v>
      </c>
      <c r="O89" t="s">
        <v>1587</v>
      </c>
      <c r="P89" t="s">
        <v>1713</v>
      </c>
      <c r="T89">
        <v>1</v>
      </c>
      <c r="W89">
        <v>0</v>
      </c>
    </row>
    <row r="90" spans="1:23" x14ac:dyDescent="0.2">
      <c r="A90" s="1">
        <v>88</v>
      </c>
      <c r="B90">
        <v>25733505</v>
      </c>
      <c r="C90" t="s">
        <v>115</v>
      </c>
      <c r="D90" t="s">
        <v>748</v>
      </c>
      <c r="E90" t="str">
        <f>"1400067960"</f>
        <v>1400067960</v>
      </c>
      <c r="F90" t="str">
        <f>"9781400067961"</f>
        <v>9781400067961</v>
      </c>
      <c r="G90">
        <v>4</v>
      </c>
      <c r="H90">
        <v>4.2300000000000004</v>
      </c>
      <c r="I90" t="s">
        <v>1191</v>
      </c>
      <c r="J90" t="s">
        <v>1509</v>
      </c>
      <c r="K90">
        <v>416</v>
      </c>
      <c r="L90">
        <v>2016</v>
      </c>
      <c r="M90">
        <v>2016</v>
      </c>
      <c r="O90" t="s">
        <v>1587</v>
      </c>
      <c r="P90" t="s">
        <v>1713</v>
      </c>
      <c r="T90">
        <v>1</v>
      </c>
      <c r="W90">
        <v>0</v>
      </c>
    </row>
    <row r="91" spans="1:23" x14ac:dyDescent="0.2">
      <c r="A91" s="1">
        <v>89</v>
      </c>
      <c r="B91">
        <v>17286725</v>
      </c>
      <c r="C91" t="s">
        <v>116</v>
      </c>
      <c r="D91" t="s">
        <v>749</v>
      </c>
      <c r="E91" t="str">
        <f>"0805094970"</f>
        <v>0805094970</v>
      </c>
      <c r="F91" t="str">
        <f>"9780805094978"</f>
        <v>9780805094978</v>
      </c>
      <c r="G91">
        <v>3</v>
      </c>
      <c r="H91">
        <v>4.08</v>
      </c>
      <c r="I91" t="s">
        <v>1235</v>
      </c>
      <c r="J91" t="s">
        <v>1509</v>
      </c>
      <c r="K91">
        <v>416</v>
      </c>
      <c r="L91">
        <v>2013</v>
      </c>
      <c r="M91">
        <v>2013</v>
      </c>
      <c r="O91" t="s">
        <v>1587</v>
      </c>
      <c r="P91" t="s">
        <v>1713</v>
      </c>
      <c r="T91">
        <v>1</v>
      </c>
      <c r="W91">
        <v>0</v>
      </c>
    </row>
    <row r="92" spans="1:23" x14ac:dyDescent="0.2">
      <c r="A92" s="1">
        <v>90</v>
      </c>
      <c r="B92">
        <v>113576</v>
      </c>
      <c r="C92" t="s">
        <v>117</v>
      </c>
      <c r="D92" t="s">
        <v>750</v>
      </c>
      <c r="E92" t="str">
        <f>"1591840538"</f>
        <v>1591840538</v>
      </c>
      <c r="F92" t="str">
        <f>"9781591840534"</f>
        <v>9781591840534</v>
      </c>
      <c r="G92">
        <v>4</v>
      </c>
      <c r="H92">
        <v>4.21</v>
      </c>
      <c r="I92" t="s">
        <v>1236</v>
      </c>
      <c r="J92" t="s">
        <v>1507</v>
      </c>
      <c r="K92">
        <v>480</v>
      </c>
      <c r="L92">
        <v>2004</v>
      </c>
      <c r="M92">
        <v>2003</v>
      </c>
      <c r="O92" t="s">
        <v>1587</v>
      </c>
      <c r="P92" t="s">
        <v>1713</v>
      </c>
      <c r="T92">
        <v>1</v>
      </c>
      <c r="W92">
        <v>0</v>
      </c>
    </row>
    <row r="93" spans="1:23" x14ac:dyDescent="0.2">
      <c r="A93" s="1">
        <v>91</v>
      </c>
      <c r="B93">
        <v>25663872</v>
      </c>
      <c r="C93" t="s">
        <v>118</v>
      </c>
      <c r="D93" t="s">
        <v>751</v>
      </c>
      <c r="E93" t="str">
        <f>"125008136X"</f>
        <v>125008136X</v>
      </c>
      <c r="F93" t="str">
        <f>"9781250081360"</f>
        <v>9781250081360</v>
      </c>
      <c r="G93">
        <v>3</v>
      </c>
      <c r="H93">
        <v>3.84</v>
      </c>
      <c r="I93" t="s">
        <v>1189</v>
      </c>
      <c r="J93" t="s">
        <v>1509</v>
      </c>
      <c r="K93">
        <v>320</v>
      </c>
      <c r="L93">
        <v>2016</v>
      </c>
      <c r="M93">
        <v>2016</v>
      </c>
      <c r="O93" t="s">
        <v>1587</v>
      </c>
      <c r="P93" t="s">
        <v>1713</v>
      </c>
      <c r="T93">
        <v>1</v>
      </c>
      <c r="W93">
        <v>0</v>
      </c>
    </row>
    <row r="94" spans="1:23" x14ac:dyDescent="0.2">
      <c r="A94" s="1">
        <v>92</v>
      </c>
      <c r="B94">
        <v>20696006</v>
      </c>
      <c r="C94" t="s">
        <v>119</v>
      </c>
      <c r="D94" t="s">
        <v>752</v>
      </c>
      <c r="E94" t="str">
        <f>"0805095152"</f>
        <v>0805095152</v>
      </c>
      <c r="F94" t="str">
        <f>"9780805095159"</f>
        <v>9780805095159</v>
      </c>
      <c r="G94">
        <v>4</v>
      </c>
      <c r="H94">
        <v>4.43</v>
      </c>
      <c r="I94" t="s">
        <v>1237</v>
      </c>
      <c r="J94" t="s">
        <v>1509</v>
      </c>
      <c r="K94">
        <v>282</v>
      </c>
      <c r="L94">
        <v>2014</v>
      </c>
      <c r="M94">
        <v>2014</v>
      </c>
      <c r="O94" t="s">
        <v>1587</v>
      </c>
      <c r="P94" t="s">
        <v>1713</v>
      </c>
      <c r="T94">
        <v>1</v>
      </c>
      <c r="W94">
        <v>0</v>
      </c>
    </row>
    <row r="95" spans="1:23" x14ac:dyDescent="0.2">
      <c r="A95" s="1">
        <v>93</v>
      </c>
      <c r="B95">
        <v>16158491</v>
      </c>
      <c r="C95" t="s">
        <v>120</v>
      </c>
      <c r="D95" t="s">
        <v>753</v>
      </c>
      <c r="E95" t="str">
        <f>"1594204802"</f>
        <v>1594204802</v>
      </c>
      <c r="F95" t="str">
        <f>"9781594204807"</f>
        <v>9781594204807</v>
      </c>
      <c r="G95">
        <v>2</v>
      </c>
      <c r="H95">
        <v>3.84</v>
      </c>
      <c r="I95" t="s">
        <v>1238</v>
      </c>
      <c r="J95" t="s">
        <v>1509</v>
      </c>
      <c r="K95">
        <v>381</v>
      </c>
      <c r="L95">
        <v>2013</v>
      </c>
      <c r="M95">
        <v>2013</v>
      </c>
      <c r="O95" t="s">
        <v>1587</v>
      </c>
      <c r="P95" t="s">
        <v>1713</v>
      </c>
      <c r="T95">
        <v>1</v>
      </c>
      <c r="W95">
        <v>0</v>
      </c>
    </row>
    <row r="96" spans="1:23" x14ac:dyDescent="0.2">
      <c r="A96" s="1">
        <v>94</v>
      </c>
      <c r="B96">
        <v>30145126</v>
      </c>
      <c r="C96" t="s">
        <v>121</v>
      </c>
      <c r="D96" t="s">
        <v>754</v>
      </c>
      <c r="E96" t="str">
        <f>"1455540005"</f>
        <v>1455540005</v>
      </c>
      <c r="F96" t="str">
        <f>"9781455540006"</f>
        <v>9781455540006</v>
      </c>
      <c r="G96">
        <v>2</v>
      </c>
      <c r="H96">
        <v>3.91</v>
      </c>
      <c r="I96" t="s">
        <v>1228</v>
      </c>
      <c r="J96" t="s">
        <v>1509</v>
      </c>
      <c r="K96">
        <v>328</v>
      </c>
      <c r="L96">
        <v>2017</v>
      </c>
      <c r="M96">
        <v>2017</v>
      </c>
      <c r="O96" t="s">
        <v>1587</v>
      </c>
      <c r="P96" t="s">
        <v>1713</v>
      </c>
      <c r="T96">
        <v>1</v>
      </c>
      <c r="W96">
        <v>0</v>
      </c>
    </row>
    <row r="97" spans="1:23" x14ac:dyDescent="0.2">
      <c r="A97" s="1">
        <v>95</v>
      </c>
      <c r="B97">
        <v>5148</v>
      </c>
      <c r="C97" t="s">
        <v>122</v>
      </c>
      <c r="D97" t="s">
        <v>755</v>
      </c>
      <c r="E97" t="str">
        <f>"0743253973"</f>
        <v>0743253973</v>
      </c>
      <c r="F97" t="str">
        <f>"9780743253970"</f>
        <v>9780743253970</v>
      </c>
      <c r="G97">
        <v>3</v>
      </c>
      <c r="H97">
        <v>3.58</v>
      </c>
      <c r="I97" t="s">
        <v>1226</v>
      </c>
      <c r="J97" t="s">
        <v>1507</v>
      </c>
      <c r="K97">
        <v>208</v>
      </c>
      <c r="L97">
        <v>2003</v>
      </c>
      <c r="M97">
        <v>1959</v>
      </c>
      <c r="O97" t="s">
        <v>1587</v>
      </c>
      <c r="P97" t="s">
        <v>1713</v>
      </c>
      <c r="T97">
        <v>1</v>
      </c>
      <c r="W97">
        <v>0</v>
      </c>
    </row>
    <row r="98" spans="1:23" x14ac:dyDescent="0.2">
      <c r="A98" s="1">
        <v>96</v>
      </c>
      <c r="B98">
        <v>11138</v>
      </c>
      <c r="C98" t="s">
        <v>123</v>
      </c>
      <c r="D98" t="s">
        <v>756</v>
      </c>
      <c r="E98" t="str">
        <f>"0684823780"</f>
        <v>0684823780</v>
      </c>
      <c r="F98" t="str">
        <f>"9780684823782"</f>
        <v>9780684823782</v>
      </c>
      <c r="G98">
        <v>1</v>
      </c>
      <c r="H98">
        <v>4.32</v>
      </c>
      <c r="I98" t="s">
        <v>1239</v>
      </c>
      <c r="J98" t="s">
        <v>1507</v>
      </c>
      <c r="K98">
        <v>191</v>
      </c>
      <c r="L98">
        <v>1996</v>
      </c>
      <c r="M98">
        <v>1942</v>
      </c>
      <c r="O98" t="s">
        <v>1587</v>
      </c>
      <c r="P98" t="s">
        <v>1713</v>
      </c>
      <c r="T98">
        <v>1</v>
      </c>
      <c r="W98">
        <v>0</v>
      </c>
    </row>
    <row r="99" spans="1:23" x14ac:dyDescent="0.2">
      <c r="A99" s="1">
        <v>97</v>
      </c>
      <c r="B99">
        <v>15823480</v>
      </c>
      <c r="C99" t="s">
        <v>124</v>
      </c>
      <c r="D99" t="s">
        <v>757</v>
      </c>
      <c r="E99" t="str">
        <f>""</f>
        <v/>
      </c>
      <c r="F99" t="str">
        <f>""</f>
        <v/>
      </c>
      <c r="G99">
        <v>4</v>
      </c>
      <c r="H99">
        <v>4.0599999999999996</v>
      </c>
      <c r="I99" t="s">
        <v>1167</v>
      </c>
      <c r="J99" t="s">
        <v>1507</v>
      </c>
      <c r="K99">
        <v>964</v>
      </c>
      <c r="L99">
        <v>2012</v>
      </c>
      <c r="M99">
        <v>1877</v>
      </c>
      <c r="O99" t="s">
        <v>1587</v>
      </c>
      <c r="P99" t="s">
        <v>1713</v>
      </c>
      <c r="T99">
        <v>1</v>
      </c>
      <c r="W99">
        <v>0</v>
      </c>
    </row>
    <row r="100" spans="1:23" x14ac:dyDescent="0.2">
      <c r="A100" s="1">
        <v>98</v>
      </c>
      <c r="B100">
        <v>4900</v>
      </c>
      <c r="C100" t="s">
        <v>125</v>
      </c>
      <c r="D100" t="s">
        <v>758</v>
      </c>
      <c r="E100" t="str">
        <f>"1892295490"</f>
        <v>1892295490</v>
      </c>
      <c r="F100" t="str">
        <f>"9781892295491"</f>
        <v>9781892295491</v>
      </c>
      <c r="G100">
        <v>2</v>
      </c>
      <c r="H100">
        <v>3.43</v>
      </c>
      <c r="I100" t="s">
        <v>1240</v>
      </c>
      <c r="J100" t="s">
        <v>1507</v>
      </c>
      <c r="K100">
        <v>188</v>
      </c>
      <c r="L100">
        <v>2003</v>
      </c>
      <c r="M100">
        <v>1899</v>
      </c>
      <c r="O100" t="s">
        <v>1587</v>
      </c>
      <c r="P100" t="s">
        <v>1713</v>
      </c>
      <c r="T100">
        <v>1</v>
      </c>
      <c r="W100">
        <v>0</v>
      </c>
    </row>
    <row r="101" spans="1:23" x14ac:dyDescent="0.2">
      <c r="A101" s="1">
        <v>99</v>
      </c>
      <c r="B101">
        <v>25241317</v>
      </c>
      <c r="C101" t="s">
        <v>126</v>
      </c>
      <c r="D101" t="s">
        <v>759</v>
      </c>
      <c r="E101" t="str">
        <f>"0385538227"</f>
        <v>0385538227</v>
      </c>
      <c r="F101" t="str">
        <f>"9780385538220"</f>
        <v>9780385538220</v>
      </c>
      <c r="G101">
        <v>4</v>
      </c>
      <c r="H101">
        <v>4.34</v>
      </c>
      <c r="I101" t="s">
        <v>1241</v>
      </c>
      <c r="J101" t="s">
        <v>1508</v>
      </c>
      <c r="K101">
        <v>368</v>
      </c>
      <c r="L101">
        <v>2015</v>
      </c>
      <c r="M101">
        <v>2016</v>
      </c>
      <c r="O101" t="s">
        <v>1587</v>
      </c>
      <c r="P101" t="s">
        <v>1713</v>
      </c>
      <c r="T101">
        <v>1</v>
      </c>
      <c r="W101">
        <v>0</v>
      </c>
    </row>
    <row r="102" spans="1:23" x14ac:dyDescent="0.2">
      <c r="A102" s="1">
        <v>100</v>
      </c>
      <c r="B102">
        <v>6288</v>
      </c>
      <c r="C102" t="s">
        <v>127</v>
      </c>
      <c r="D102" t="s">
        <v>760</v>
      </c>
      <c r="E102" t="str">
        <f>"0307265439"</f>
        <v>0307265439</v>
      </c>
      <c r="F102" t="str">
        <f>"9780307265432"</f>
        <v>9780307265432</v>
      </c>
      <c r="G102">
        <v>4</v>
      </c>
      <c r="H102">
        <v>3.97</v>
      </c>
      <c r="I102" t="s">
        <v>1233</v>
      </c>
      <c r="J102" t="s">
        <v>1509</v>
      </c>
      <c r="K102">
        <v>241</v>
      </c>
      <c r="L102">
        <v>2006</v>
      </c>
      <c r="M102">
        <v>2006</v>
      </c>
      <c r="O102" t="s">
        <v>1587</v>
      </c>
      <c r="P102" t="s">
        <v>1713</v>
      </c>
      <c r="T102">
        <v>1</v>
      </c>
      <c r="W102">
        <v>0</v>
      </c>
    </row>
    <row r="103" spans="1:23" x14ac:dyDescent="0.2">
      <c r="A103" s="1">
        <v>101</v>
      </c>
      <c r="B103">
        <v>37781</v>
      </c>
      <c r="C103" t="s">
        <v>128</v>
      </c>
      <c r="D103" t="s">
        <v>761</v>
      </c>
      <c r="E103" t="str">
        <f>""</f>
        <v/>
      </c>
      <c r="F103" t="str">
        <f>""</f>
        <v/>
      </c>
      <c r="G103">
        <v>2</v>
      </c>
      <c r="H103">
        <v>3.69</v>
      </c>
      <c r="I103" t="s">
        <v>1242</v>
      </c>
      <c r="J103" t="s">
        <v>1507</v>
      </c>
      <c r="K103">
        <v>209</v>
      </c>
      <c r="L103">
        <v>1994</v>
      </c>
      <c r="M103">
        <v>1958</v>
      </c>
      <c r="O103" t="s">
        <v>1587</v>
      </c>
      <c r="P103" t="s">
        <v>1713</v>
      </c>
      <c r="T103">
        <v>1</v>
      </c>
      <c r="W103">
        <v>0</v>
      </c>
    </row>
    <row r="104" spans="1:23" x14ac:dyDescent="0.2">
      <c r="A104" s="1">
        <v>102</v>
      </c>
      <c r="B104">
        <v>77203</v>
      </c>
      <c r="C104" t="s">
        <v>129</v>
      </c>
      <c r="D104" t="s">
        <v>762</v>
      </c>
      <c r="E104" t="str">
        <f>""</f>
        <v/>
      </c>
      <c r="F104" t="str">
        <f>""</f>
        <v/>
      </c>
      <c r="G104">
        <v>4</v>
      </c>
      <c r="H104">
        <v>4.3</v>
      </c>
      <c r="I104" t="s">
        <v>1204</v>
      </c>
      <c r="J104" t="s">
        <v>1507</v>
      </c>
      <c r="K104">
        <v>371</v>
      </c>
      <c r="L104">
        <v>2004</v>
      </c>
      <c r="M104">
        <v>2003</v>
      </c>
      <c r="O104" t="s">
        <v>1587</v>
      </c>
      <c r="P104" t="s">
        <v>1713</v>
      </c>
      <c r="T104">
        <v>1</v>
      </c>
      <c r="W104">
        <v>0</v>
      </c>
    </row>
    <row r="105" spans="1:23" x14ac:dyDescent="0.2">
      <c r="A105" s="1">
        <v>103</v>
      </c>
      <c r="B105">
        <v>31920777</v>
      </c>
      <c r="C105" t="s">
        <v>130</v>
      </c>
      <c r="D105" t="s">
        <v>763</v>
      </c>
      <c r="E105" t="str">
        <f>"1591848148"</f>
        <v>1591848148</v>
      </c>
      <c r="F105" t="str">
        <f>"9781591848141"</f>
        <v>9781591848141</v>
      </c>
      <c r="G105">
        <v>4</v>
      </c>
      <c r="H105">
        <v>4.3499999999999996</v>
      </c>
      <c r="I105" t="s">
        <v>1243</v>
      </c>
      <c r="J105" t="s">
        <v>1509</v>
      </c>
      <c r="K105">
        <v>328</v>
      </c>
      <c r="L105">
        <v>2017</v>
      </c>
      <c r="M105">
        <v>2017</v>
      </c>
      <c r="O105" t="s">
        <v>1587</v>
      </c>
      <c r="P105" t="s">
        <v>1713</v>
      </c>
      <c r="T105">
        <v>1</v>
      </c>
      <c r="W105">
        <v>0</v>
      </c>
    </row>
    <row r="106" spans="1:23" x14ac:dyDescent="0.2">
      <c r="A106" s="1">
        <v>104</v>
      </c>
      <c r="B106">
        <v>176691</v>
      </c>
      <c r="C106" t="s">
        <v>131</v>
      </c>
      <c r="D106" t="s">
        <v>764</v>
      </c>
      <c r="E106" t="str">
        <f>"1574889494"</f>
        <v>1574889494</v>
      </c>
      <c r="F106" t="str">
        <f>"9781574889499"</f>
        <v>9781574889499</v>
      </c>
      <c r="G106">
        <v>2</v>
      </c>
      <c r="H106">
        <v>4.0199999999999996</v>
      </c>
      <c r="I106" t="s">
        <v>1244</v>
      </c>
      <c r="J106" t="s">
        <v>1509</v>
      </c>
      <c r="K106">
        <v>306</v>
      </c>
      <c r="L106">
        <v>2006</v>
      </c>
      <c r="M106">
        <v>2006</v>
      </c>
      <c r="O106" t="s">
        <v>1587</v>
      </c>
      <c r="P106" t="s">
        <v>1713</v>
      </c>
      <c r="T106">
        <v>1</v>
      </c>
      <c r="W106">
        <v>0</v>
      </c>
    </row>
    <row r="107" spans="1:23" x14ac:dyDescent="0.2">
      <c r="A107" s="1">
        <v>105</v>
      </c>
      <c r="B107">
        <v>4934</v>
      </c>
      <c r="C107" t="s">
        <v>132</v>
      </c>
      <c r="D107" t="s">
        <v>719</v>
      </c>
      <c r="E107" t="str">
        <f>"0374528373"</f>
        <v>0374528373</v>
      </c>
      <c r="F107" t="str">
        <f>"9780374528379"</f>
        <v>9780374528379</v>
      </c>
      <c r="G107">
        <v>5</v>
      </c>
      <c r="H107">
        <v>4.32</v>
      </c>
      <c r="I107" t="s">
        <v>1176</v>
      </c>
      <c r="J107" t="s">
        <v>1507</v>
      </c>
      <c r="K107">
        <v>796</v>
      </c>
      <c r="L107">
        <v>2002</v>
      </c>
      <c r="M107">
        <v>1879</v>
      </c>
      <c r="O107" t="s">
        <v>1587</v>
      </c>
      <c r="P107" t="s">
        <v>1713</v>
      </c>
      <c r="T107">
        <v>1</v>
      </c>
      <c r="W107">
        <v>0</v>
      </c>
    </row>
    <row r="108" spans="1:23" x14ac:dyDescent="0.2">
      <c r="A108" s="1">
        <v>106</v>
      </c>
      <c r="B108">
        <v>2165</v>
      </c>
      <c r="C108" t="s">
        <v>133</v>
      </c>
      <c r="D108" t="s">
        <v>765</v>
      </c>
      <c r="E108" t="str">
        <f>"0684830493"</f>
        <v>0684830493</v>
      </c>
      <c r="F108" t="str">
        <f>"9780684830490"</f>
        <v>9780684830490</v>
      </c>
      <c r="G108">
        <v>3</v>
      </c>
      <c r="H108">
        <v>3.78</v>
      </c>
      <c r="I108" t="s">
        <v>1226</v>
      </c>
      <c r="J108" t="s">
        <v>1509</v>
      </c>
      <c r="K108">
        <v>96</v>
      </c>
      <c r="L108">
        <v>1996</v>
      </c>
      <c r="M108">
        <v>1952</v>
      </c>
      <c r="O108" t="s">
        <v>1588</v>
      </c>
      <c r="P108" t="s">
        <v>1713</v>
      </c>
      <c r="T108">
        <v>1</v>
      </c>
      <c r="W108">
        <v>0</v>
      </c>
    </row>
    <row r="109" spans="1:23" x14ac:dyDescent="0.2">
      <c r="A109" s="1">
        <v>107</v>
      </c>
      <c r="B109">
        <v>40538681</v>
      </c>
      <c r="C109" t="s">
        <v>134</v>
      </c>
      <c r="D109" t="s">
        <v>766</v>
      </c>
      <c r="E109" t="str">
        <f>"1501134612"</f>
        <v>1501134612</v>
      </c>
      <c r="F109" t="str">
        <f>"9781501134616"</f>
        <v>9781501134616</v>
      </c>
      <c r="G109">
        <v>4</v>
      </c>
      <c r="H109">
        <v>4.3899999999999997</v>
      </c>
      <c r="I109" t="s">
        <v>1245</v>
      </c>
      <c r="J109" t="s">
        <v>1509</v>
      </c>
      <c r="K109">
        <v>538</v>
      </c>
      <c r="L109">
        <v>2019</v>
      </c>
      <c r="M109">
        <v>2019</v>
      </c>
      <c r="O109" t="s">
        <v>1589</v>
      </c>
      <c r="P109" t="s">
        <v>1713</v>
      </c>
      <c r="T109">
        <v>1</v>
      </c>
      <c r="W109">
        <v>0</v>
      </c>
    </row>
    <row r="110" spans="1:23" x14ac:dyDescent="0.2">
      <c r="A110" s="1">
        <v>108</v>
      </c>
      <c r="B110">
        <v>113440</v>
      </c>
      <c r="C110" t="s">
        <v>135</v>
      </c>
      <c r="D110" t="s">
        <v>767</v>
      </c>
      <c r="E110" t="str">
        <f>"0226674339"</f>
        <v>0226674339</v>
      </c>
      <c r="F110" t="str">
        <f>"9780226674339"</f>
        <v>9780226674339</v>
      </c>
      <c r="G110">
        <v>3</v>
      </c>
      <c r="H110">
        <v>4.3</v>
      </c>
      <c r="I110" t="s">
        <v>1179</v>
      </c>
      <c r="J110" t="s">
        <v>1507</v>
      </c>
      <c r="K110">
        <v>232</v>
      </c>
      <c r="L110">
        <v>2007</v>
      </c>
      <c r="M110">
        <v>2002</v>
      </c>
      <c r="O110" t="s">
        <v>1589</v>
      </c>
      <c r="P110" t="s">
        <v>1713</v>
      </c>
      <c r="T110">
        <v>1</v>
      </c>
      <c r="W110">
        <v>0</v>
      </c>
    </row>
    <row r="111" spans="1:23" x14ac:dyDescent="0.2">
      <c r="A111" s="1">
        <v>109</v>
      </c>
      <c r="B111">
        <v>48855</v>
      </c>
      <c r="C111" t="s">
        <v>136</v>
      </c>
      <c r="D111" t="s">
        <v>768</v>
      </c>
      <c r="E111" t="str">
        <f>""</f>
        <v/>
      </c>
      <c r="F111" t="str">
        <f>""</f>
        <v/>
      </c>
      <c r="G111">
        <v>2</v>
      </c>
      <c r="H111">
        <v>4.1500000000000004</v>
      </c>
      <c r="I111" t="s">
        <v>1200</v>
      </c>
      <c r="J111" t="s">
        <v>1510</v>
      </c>
      <c r="K111">
        <v>283</v>
      </c>
      <c r="L111">
        <v>1993</v>
      </c>
      <c r="M111">
        <v>1947</v>
      </c>
      <c r="O111" t="s">
        <v>1589</v>
      </c>
      <c r="P111" t="s">
        <v>1713</v>
      </c>
      <c r="T111">
        <v>1</v>
      </c>
      <c r="W111">
        <v>0</v>
      </c>
    </row>
    <row r="112" spans="1:23" x14ac:dyDescent="0.2">
      <c r="A112" s="1">
        <v>110</v>
      </c>
      <c r="B112">
        <v>41716921</v>
      </c>
      <c r="C112" t="s">
        <v>137</v>
      </c>
      <c r="D112" t="s">
        <v>739</v>
      </c>
      <c r="E112" t="str">
        <f>"0316441430"</f>
        <v>0316441430</v>
      </c>
      <c r="F112" t="str">
        <f>"9780316441438"</f>
        <v>9780316441438</v>
      </c>
      <c r="G112">
        <v>4</v>
      </c>
      <c r="H112">
        <v>4.2300000000000004</v>
      </c>
      <c r="I112" t="s">
        <v>1246</v>
      </c>
      <c r="J112" t="s">
        <v>1509</v>
      </c>
      <c r="K112">
        <v>560</v>
      </c>
      <c r="L112">
        <v>2019</v>
      </c>
      <c r="M112">
        <v>2019</v>
      </c>
      <c r="O112" t="s">
        <v>1589</v>
      </c>
      <c r="P112" t="s">
        <v>1713</v>
      </c>
      <c r="T112">
        <v>1</v>
      </c>
      <c r="W112">
        <v>0</v>
      </c>
    </row>
    <row r="113" spans="1:23" x14ac:dyDescent="0.2">
      <c r="A113" s="1">
        <v>111</v>
      </c>
      <c r="B113">
        <v>4465</v>
      </c>
      <c r="C113" t="s">
        <v>138</v>
      </c>
      <c r="D113" t="s">
        <v>769</v>
      </c>
      <c r="E113" t="str">
        <f>"1842055062"</f>
        <v>1842055062</v>
      </c>
      <c r="F113" t="str">
        <f>"9781842055069"</f>
        <v>9781842055069</v>
      </c>
      <c r="G113">
        <v>4</v>
      </c>
      <c r="H113">
        <v>4.3899999999999997</v>
      </c>
      <c r="I113" t="s">
        <v>1247</v>
      </c>
      <c r="K113">
        <v>189</v>
      </c>
      <c r="L113">
        <v>2004</v>
      </c>
      <c r="M113">
        <v>1891</v>
      </c>
      <c r="O113" t="s">
        <v>1589</v>
      </c>
      <c r="P113" t="s">
        <v>1713</v>
      </c>
      <c r="T113">
        <v>1</v>
      </c>
      <c r="W113">
        <v>0</v>
      </c>
    </row>
    <row r="114" spans="1:23" x14ac:dyDescent="0.2">
      <c r="A114" s="1">
        <v>112</v>
      </c>
      <c r="B114">
        <v>2122</v>
      </c>
      <c r="C114" t="s">
        <v>139</v>
      </c>
      <c r="D114" t="s">
        <v>770</v>
      </c>
      <c r="E114" t="str">
        <f>"0451191153"</f>
        <v>0451191153</v>
      </c>
      <c r="F114" t="str">
        <f>"9780451191151"</f>
        <v>9780451191151</v>
      </c>
      <c r="G114">
        <v>4</v>
      </c>
      <c r="H114">
        <v>3.87</v>
      </c>
      <c r="I114" t="s">
        <v>1248</v>
      </c>
      <c r="J114" t="s">
        <v>1510</v>
      </c>
      <c r="K114">
        <v>704</v>
      </c>
      <c r="L114">
        <v>1996</v>
      </c>
      <c r="M114">
        <v>1943</v>
      </c>
      <c r="O114" t="s">
        <v>1589</v>
      </c>
      <c r="P114" t="s">
        <v>1713</v>
      </c>
      <c r="T114">
        <v>1</v>
      </c>
      <c r="W114">
        <v>0</v>
      </c>
    </row>
    <row r="115" spans="1:23" x14ac:dyDescent="0.2">
      <c r="A115" s="1">
        <v>113</v>
      </c>
      <c r="B115">
        <v>662</v>
      </c>
      <c r="C115" t="s">
        <v>140</v>
      </c>
      <c r="D115" t="s">
        <v>770</v>
      </c>
      <c r="E115" t="str">
        <f>"0452011876"</f>
        <v>0452011876</v>
      </c>
      <c r="F115" t="str">
        <f>"9780452011878"</f>
        <v>9780452011878</v>
      </c>
      <c r="G115">
        <v>4</v>
      </c>
      <c r="H115">
        <v>3.69</v>
      </c>
      <c r="I115" t="s">
        <v>1249</v>
      </c>
      <c r="J115" t="s">
        <v>1507</v>
      </c>
      <c r="K115">
        <v>1168</v>
      </c>
      <c r="L115">
        <v>1999</v>
      </c>
      <c r="M115">
        <v>1957</v>
      </c>
      <c r="O115" t="s">
        <v>1589</v>
      </c>
      <c r="P115" t="s">
        <v>1713</v>
      </c>
      <c r="T115">
        <v>1</v>
      </c>
      <c r="W115">
        <v>0</v>
      </c>
    </row>
    <row r="116" spans="1:23" x14ac:dyDescent="0.2">
      <c r="A116" s="1">
        <v>114</v>
      </c>
      <c r="B116">
        <v>667</v>
      </c>
      <c r="C116" t="s">
        <v>141</v>
      </c>
      <c r="D116" t="s">
        <v>770</v>
      </c>
      <c r="E116" t="str">
        <f>"0452281253"</f>
        <v>0452281253</v>
      </c>
      <c r="F116" t="str">
        <f>"9780452281257"</f>
        <v>9780452281257</v>
      </c>
      <c r="G116">
        <v>3</v>
      </c>
      <c r="H116">
        <v>3.63</v>
      </c>
      <c r="I116" t="s">
        <v>1250</v>
      </c>
      <c r="J116" t="s">
        <v>1507</v>
      </c>
      <c r="K116">
        <v>105</v>
      </c>
      <c r="L116">
        <v>1999</v>
      </c>
      <c r="M116">
        <v>1938</v>
      </c>
      <c r="O116" t="s">
        <v>1589</v>
      </c>
      <c r="P116" t="s">
        <v>1713</v>
      </c>
      <c r="T116">
        <v>1</v>
      </c>
      <c r="W116">
        <v>0</v>
      </c>
    </row>
    <row r="117" spans="1:23" x14ac:dyDescent="0.2">
      <c r="A117" s="1">
        <v>115</v>
      </c>
      <c r="B117">
        <v>17245</v>
      </c>
      <c r="C117" t="s">
        <v>142</v>
      </c>
      <c r="D117" t="s">
        <v>771</v>
      </c>
      <c r="E117" t="str">
        <f>"0393970124"</f>
        <v>0393970124</v>
      </c>
      <c r="F117" t="str">
        <f>"9780393970128"</f>
        <v>9780393970128</v>
      </c>
      <c r="G117">
        <v>2</v>
      </c>
      <c r="H117">
        <v>4</v>
      </c>
      <c r="I117" t="s">
        <v>1251</v>
      </c>
      <c r="J117" t="s">
        <v>1507</v>
      </c>
      <c r="K117">
        <v>488</v>
      </c>
      <c r="L117">
        <v>1986</v>
      </c>
      <c r="M117">
        <v>1897</v>
      </c>
      <c r="O117" t="s">
        <v>1589</v>
      </c>
      <c r="P117" t="s">
        <v>1713</v>
      </c>
      <c r="T117">
        <v>1</v>
      </c>
      <c r="W117">
        <v>0</v>
      </c>
    </row>
    <row r="118" spans="1:23" x14ac:dyDescent="0.2">
      <c r="A118" s="1">
        <v>116</v>
      </c>
      <c r="B118">
        <v>253203</v>
      </c>
      <c r="C118" t="s">
        <v>143</v>
      </c>
      <c r="D118" t="s">
        <v>772</v>
      </c>
      <c r="E118" t="str">
        <f>"0767922719"</f>
        <v>0767922719</v>
      </c>
      <c r="F118" t="str">
        <f>"9780767922715"</f>
        <v>9780767922715</v>
      </c>
      <c r="G118">
        <v>2</v>
      </c>
      <c r="H118">
        <v>4.1399999999999997</v>
      </c>
      <c r="I118" t="s">
        <v>1198</v>
      </c>
      <c r="J118" t="s">
        <v>1507</v>
      </c>
      <c r="K118">
        <v>217</v>
      </c>
      <c r="L118">
        <v>2006</v>
      </c>
      <c r="M118">
        <v>2006</v>
      </c>
      <c r="O118" t="s">
        <v>1589</v>
      </c>
      <c r="P118" t="s">
        <v>1713</v>
      </c>
      <c r="T118">
        <v>1</v>
      </c>
      <c r="W118">
        <v>0</v>
      </c>
    </row>
    <row r="119" spans="1:23" x14ac:dyDescent="0.2">
      <c r="A119" s="1">
        <v>117</v>
      </c>
      <c r="B119">
        <v>31158752</v>
      </c>
      <c r="C119" t="s">
        <v>144</v>
      </c>
      <c r="D119" t="s">
        <v>773</v>
      </c>
      <c r="E119" t="str">
        <f>"1524722960"</f>
        <v>1524722960</v>
      </c>
      <c r="F119" t="str">
        <f>"9781524722968"</f>
        <v>9781524722968</v>
      </c>
      <c r="G119">
        <v>3</v>
      </c>
      <c r="H119">
        <v>4.28</v>
      </c>
      <c r="I119" t="s">
        <v>1252</v>
      </c>
      <c r="J119" t="s">
        <v>1512</v>
      </c>
      <c r="L119">
        <v>2017</v>
      </c>
      <c r="M119">
        <v>2017</v>
      </c>
      <c r="O119" t="s">
        <v>1589</v>
      </c>
      <c r="P119" t="s">
        <v>1713</v>
      </c>
      <c r="T119">
        <v>1</v>
      </c>
      <c r="W119">
        <v>0</v>
      </c>
    </row>
    <row r="120" spans="1:23" x14ac:dyDescent="0.2">
      <c r="A120" s="1">
        <v>118</v>
      </c>
      <c r="B120">
        <v>394535</v>
      </c>
      <c r="C120" t="s">
        <v>145</v>
      </c>
      <c r="D120" t="s">
        <v>760</v>
      </c>
      <c r="E120" t="str">
        <f>""</f>
        <v/>
      </c>
      <c r="F120" t="str">
        <f>""</f>
        <v/>
      </c>
      <c r="G120">
        <v>4</v>
      </c>
      <c r="H120">
        <v>4.17</v>
      </c>
      <c r="I120" t="s">
        <v>1253</v>
      </c>
      <c r="J120" t="s">
        <v>1507</v>
      </c>
      <c r="K120">
        <v>351</v>
      </c>
      <c r="L120">
        <v>1992</v>
      </c>
      <c r="M120">
        <v>1985</v>
      </c>
      <c r="O120" t="s">
        <v>1589</v>
      </c>
      <c r="P120" t="s">
        <v>1713</v>
      </c>
      <c r="T120">
        <v>1</v>
      </c>
      <c r="W120">
        <v>0</v>
      </c>
    </row>
    <row r="121" spans="1:23" x14ac:dyDescent="0.2">
      <c r="A121" s="1">
        <v>119</v>
      </c>
      <c r="B121">
        <v>1971304</v>
      </c>
      <c r="C121" t="s">
        <v>146</v>
      </c>
      <c r="D121" t="s">
        <v>774</v>
      </c>
      <c r="E121" t="str">
        <f>"0670018708"</f>
        <v>0670018708</v>
      </c>
      <c r="F121" t="str">
        <f>"9780670018703"</f>
        <v>9780670018703</v>
      </c>
      <c r="G121">
        <v>2</v>
      </c>
      <c r="H121">
        <v>4.2699999999999996</v>
      </c>
      <c r="I121" t="s">
        <v>1254</v>
      </c>
      <c r="J121" t="s">
        <v>1509</v>
      </c>
      <c r="K121">
        <v>258</v>
      </c>
      <c r="L121">
        <v>2008</v>
      </c>
      <c r="M121">
        <v>2008</v>
      </c>
      <c r="O121" t="s">
        <v>1589</v>
      </c>
      <c r="P121" t="s">
        <v>1713</v>
      </c>
      <c r="T121">
        <v>1</v>
      </c>
      <c r="W121">
        <v>0</v>
      </c>
    </row>
    <row r="122" spans="1:23" x14ac:dyDescent="0.2">
      <c r="A122" s="1">
        <v>120</v>
      </c>
      <c r="B122">
        <v>31253737</v>
      </c>
      <c r="C122" t="s">
        <v>147</v>
      </c>
      <c r="D122" t="s">
        <v>775</v>
      </c>
      <c r="E122" t="str">
        <f>"1524756202"</f>
        <v>1524756202</v>
      </c>
      <c r="F122" t="str">
        <f>"9781524756208"</f>
        <v>9781524756208</v>
      </c>
      <c r="G122">
        <v>3</v>
      </c>
      <c r="H122">
        <v>4.3499999999999996</v>
      </c>
      <c r="I122" t="s">
        <v>1255</v>
      </c>
      <c r="J122" t="s">
        <v>1507</v>
      </c>
      <c r="K122">
        <v>656</v>
      </c>
      <c r="L122">
        <v>2017</v>
      </c>
      <c r="M122">
        <v>2017</v>
      </c>
      <c r="O122" t="s">
        <v>1589</v>
      </c>
      <c r="P122" t="s">
        <v>1713</v>
      </c>
      <c r="T122">
        <v>1</v>
      </c>
      <c r="W122">
        <v>0</v>
      </c>
    </row>
    <row r="123" spans="1:23" x14ac:dyDescent="0.2">
      <c r="A123" s="1">
        <v>121</v>
      </c>
      <c r="B123">
        <v>15849465</v>
      </c>
      <c r="C123" t="s">
        <v>148</v>
      </c>
      <c r="D123" t="s">
        <v>776</v>
      </c>
      <c r="E123" t="str">
        <f>"0307730700"</f>
        <v>0307730700</v>
      </c>
      <c r="F123" t="str">
        <f>"9780307730701"</f>
        <v>9780307730701</v>
      </c>
      <c r="G123">
        <v>2</v>
      </c>
      <c r="H123">
        <v>4.55</v>
      </c>
      <c r="I123" t="s">
        <v>1256</v>
      </c>
      <c r="J123" t="s">
        <v>1507</v>
      </c>
      <c r="K123">
        <v>368</v>
      </c>
      <c r="L123">
        <v>2013</v>
      </c>
      <c r="M123">
        <v>2012</v>
      </c>
      <c r="O123" t="s">
        <v>1589</v>
      </c>
      <c r="P123" t="s">
        <v>1713</v>
      </c>
      <c r="T123">
        <v>1</v>
      </c>
      <c r="W123">
        <v>0</v>
      </c>
    </row>
    <row r="124" spans="1:23" x14ac:dyDescent="0.2">
      <c r="A124" s="1">
        <v>122</v>
      </c>
      <c r="B124">
        <v>23158207</v>
      </c>
      <c r="C124" t="s">
        <v>149</v>
      </c>
      <c r="D124" t="s">
        <v>777</v>
      </c>
      <c r="E124" t="str">
        <f>""</f>
        <v/>
      </c>
      <c r="F124" t="str">
        <f>""</f>
        <v/>
      </c>
      <c r="G124">
        <v>3</v>
      </c>
      <c r="H124">
        <v>4.0599999999999996</v>
      </c>
      <c r="I124" t="s">
        <v>1257</v>
      </c>
      <c r="J124" t="s">
        <v>1511</v>
      </c>
      <c r="K124">
        <v>305</v>
      </c>
      <c r="L124">
        <v>2014</v>
      </c>
      <c r="M124">
        <v>2014</v>
      </c>
      <c r="O124" t="s">
        <v>1589</v>
      </c>
      <c r="P124" t="s">
        <v>1713</v>
      </c>
      <c r="T124">
        <v>1</v>
      </c>
      <c r="W124">
        <v>0</v>
      </c>
    </row>
    <row r="125" spans="1:23" x14ac:dyDescent="0.2">
      <c r="A125" s="1">
        <v>123</v>
      </c>
      <c r="B125">
        <v>17690</v>
      </c>
      <c r="C125" t="s">
        <v>150</v>
      </c>
      <c r="D125" t="s">
        <v>778</v>
      </c>
      <c r="E125" t="str">
        <f>""</f>
        <v/>
      </c>
      <c r="F125" t="str">
        <f>""</f>
        <v/>
      </c>
      <c r="G125">
        <v>1</v>
      </c>
      <c r="H125">
        <v>3.96</v>
      </c>
      <c r="I125" t="s">
        <v>1167</v>
      </c>
      <c r="J125" t="s">
        <v>1507</v>
      </c>
      <c r="K125">
        <v>255</v>
      </c>
      <c r="L125">
        <v>2001</v>
      </c>
      <c r="M125">
        <v>1925</v>
      </c>
      <c r="O125" t="s">
        <v>1589</v>
      </c>
      <c r="P125" t="s">
        <v>1713</v>
      </c>
      <c r="T125">
        <v>1</v>
      </c>
      <c r="W125">
        <v>0</v>
      </c>
    </row>
    <row r="126" spans="1:23" x14ac:dyDescent="0.2">
      <c r="A126" s="1">
        <v>124</v>
      </c>
      <c r="B126">
        <v>17877</v>
      </c>
      <c r="C126" t="s">
        <v>151</v>
      </c>
      <c r="D126" t="s">
        <v>719</v>
      </c>
      <c r="E126" t="str">
        <f>"0486434095"</f>
        <v>0486434095</v>
      </c>
      <c r="F126" t="str">
        <f>"9780486434094"</f>
        <v>9780486434094</v>
      </c>
      <c r="G126">
        <v>2</v>
      </c>
      <c r="H126">
        <v>4.05</v>
      </c>
      <c r="I126" t="s">
        <v>1230</v>
      </c>
      <c r="J126" t="s">
        <v>1507</v>
      </c>
      <c r="K126">
        <v>247</v>
      </c>
      <c r="L126">
        <v>2004</v>
      </c>
      <c r="M126">
        <v>1861</v>
      </c>
      <c r="O126" t="s">
        <v>1590</v>
      </c>
      <c r="P126" t="s">
        <v>1713</v>
      </c>
      <c r="T126">
        <v>1</v>
      </c>
      <c r="W126">
        <v>0</v>
      </c>
    </row>
    <row r="127" spans="1:23" x14ac:dyDescent="0.2">
      <c r="A127" s="1">
        <v>125</v>
      </c>
      <c r="B127">
        <v>49455</v>
      </c>
      <c r="C127" t="s">
        <v>152</v>
      </c>
      <c r="D127" t="s">
        <v>719</v>
      </c>
      <c r="E127" t="str">
        <f>"067973452X"</f>
        <v>067973452X</v>
      </c>
      <c r="F127" t="str">
        <f>"9780679734529"</f>
        <v>9780679734529</v>
      </c>
      <c r="G127">
        <v>2</v>
      </c>
      <c r="H127">
        <v>4.1500000000000004</v>
      </c>
      <c r="I127" t="s">
        <v>1258</v>
      </c>
      <c r="J127" t="s">
        <v>1507</v>
      </c>
      <c r="K127">
        <v>136</v>
      </c>
      <c r="L127">
        <v>1994</v>
      </c>
      <c r="M127">
        <v>1864</v>
      </c>
      <c r="O127" t="s">
        <v>1590</v>
      </c>
      <c r="P127" t="s">
        <v>1713</v>
      </c>
      <c r="T127">
        <v>1</v>
      </c>
      <c r="W127">
        <v>0</v>
      </c>
    </row>
    <row r="128" spans="1:23" x14ac:dyDescent="0.2">
      <c r="A128" s="1">
        <v>126</v>
      </c>
      <c r="B128">
        <v>1052</v>
      </c>
      <c r="C128" t="s">
        <v>153</v>
      </c>
      <c r="D128" t="s">
        <v>779</v>
      </c>
      <c r="E128" t="str">
        <f>"0451205367"</f>
        <v>0451205367</v>
      </c>
      <c r="F128" t="str">
        <f>"9780451205360"</f>
        <v>9780451205360</v>
      </c>
      <c r="G128">
        <v>2</v>
      </c>
      <c r="H128">
        <v>4.2699999999999996</v>
      </c>
      <c r="I128" t="s">
        <v>1229</v>
      </c>
      <c r="J128" t="s">
        <v>1507</v>
      </c>
      <c r="K128">
        <v>194</v>
      </c>
      <c r="L128">
        <v>2008</v>
      </c>
      <c r="M128">
        <v>1926</v>
      </c>
      <c r="O128" t="s">
        <v>1590</v>
      </c>
      <c r="P128" t="s">
        <v>1713</v>
      </c>
      <c r="T128">
        <v>1</v>
      </c>
      <c r="W128">
        <v>0</v>
      </c>
    </row>
    <row r="129" spans="1:23" x14ac:dyDescent="0.2">
      <c r="A129" s="1">
        <v>127</v>
      </c>
      <c r="B129">
        <v>170448</v>
      </c>
      <c r="C129" t="s">
        <v>154</v>
      </c>
      <c r="D129" t="s">
        <v>724</v>
      </c>
      <c r="E129" t="str">
        <f>"0451526341"</f>
        <v>0451526341</v>
      </c>
      <c r="F129" t="str">
        <f>"9780451526342"</f>
        <v>9780451526342</v>
      </c>
      <c r="G129">
        <v>3</v>
      </c>
      <c r="H129">
        <v>3.95</v>
      </c>
      <c r="I129" t="s">
        <v>1259</v>
      </c>
      <c r="J129" t="s">
        <v>1510</v>
      </c>
      <c r="K129">
        <v>141</v>
      </c>
      <c r="L129">
        <v>1996</v>
      </c>
      <c r="M129">
        <v>1945</v>
      </c>
      <c r="O129" t="s">
        <v>1590</v>
      </c>
      <c r="P129" t="s">
        <v>1713</v>
      </c>
      <c r="T129">
        <v>1</v>
      </c>
      <c r="W129">
        <v>0</v>
      </c>
    </row>
    <row r="130" spans="1:23" x14ac:dyDescent="0.2">
      <c r="A130" s="1">
        <v>128</v>
      </c>
      <c r="B130">
        <v>3698</v>
      </c>
      <c r="C130" t="s">
        <v>155</v>
      </c>
      <c r="D130" t="s">
        <v>722</v>
      </c>
      <c r="E130" t="str">
        <f>"0143039024"</f>
        <v>0143039024</v>
      </c>
      <c r="F130" t="str">
        <f>"9780143039020"</f>
        <v>9780143039020</v>
      </c>
      <c r="G130">
        <v>2</v>
      </c>
      <c r="H130">
        <v>3.95</v>
      </c>
      <c r="I130" t="s">
        <v>1260</v>
      </c>
      <c r="J130" t="s">
        <v>1507</v>
      </c>
      <c r="K130">
        <v>180</v>
      </c>
      <c r="L130">
        <v>2004</v>
      </c>
      <c r="M130">
        <v>1955</v>
      </c>
      <c r="O130" t="s">
        <v>1590</v>
      </c>
      <c r="P130" t="s">
        <v>1713</v>
      </c>
      <c r="T130">
        <v>1</v>
      </c>
      <c r="W130">
        <v>0</v>
      </c>
    </row>
    <row r="131" spans="1:23" x14ac:dyDescent="0.2">
      <c r="A131" s="1">
        <v>129</v>
      </c>
      <c r="B131">
        <v>34890015</v>
      </c>
      <c r="C131" t="s">
        <v>156</v>
      </c>
      <c r="D131" t="s">
        <v>780</v>
      </c>
      <c r="E131" t="str">
        <f>"1473637465"</f>
        <v>1473637465</v>
      </c>
      <c r="F131" t="str">
        <f>"9781473637467"</f>
        <v>9781473637467</v>
      </c>
      <c r="G131">
        <v>3</v>
      </c>
      <c r="H131">
        <v>4.3499999999999996</v>
      </c>
      <c r="I131" t="s">
        <v>1261</v>
      </c>
      <c r="J131" t="s">
        <v>1509</v>
      </c>
      <c r="K131">
        <v>342</v>
      </c>
      <c r="L131">
        <v>2018</v>
      </c>
      <c r="M131">
        <v>2018</v>
      </c>
      <c r="O131" t="s">
        <v>1590</v>
      </c>
      <c r="P131" t="s">
        <v>1713</v>
      </c>
      <c r="T131">
        <v>1</v>
      </c>
      <c r="W131">
        <v>0</v>
      </c>
    </row>
    <row r="132" spans="1:23" x14ac:dyDescent="0.2">
      <c r="A132" s="1">
        <v>130</v>
      </c>
      <c r="B132">
        <v>2657</v>
      </c>
      <c r="C132" t="s">
        <v>157</v>
      </c>
      <c r="D132" t="s">
        <v>781</v>
      </c>
      <c r="E132" t="str">
        <f>""</f>
        <v/>
      </c>
      <c r="F132" t="str">
        <f>""</f>
        <v/>
      </c>
      <c r="G132">
        <v>3</v>
      </c>
      <c r="H132">
        <v>4.28</v>
      </c>
      <c r="I132" t="s">
        <v>1262</v>
      </c>
      <c r="J132" t="s">
        <v>1507</v>
      </c>
      <c r="K132">
        <v>324</v>
      </c>
      <c r="L132">
        <v>2006</v>
      </c>
      <c r="M132">
        <v>1960</v>
      </c>
      <c r="O132" t="s">
        <v>1590</v>
      </c>
      <c r="P132" t="s">
        <v>1713</v>
      </c>
      <c r="T132">
        <v>1</v>
      </c>
      <c r="W132">
        <v>0</v>
      </c>
    </row>
    <row r="133" spans="1:23" x14ac:dyDescent="0.2">
      <c r="A133" s="1">
        <v>131</v>
      </c>
      <c r="B133">
        <v>29981</v>
      </c>
      <c r="C133" t="s">
        <v>158</v>
      </c>
      <c r="D133" t="s">
        <v>782</v>
      </c>
      <c r="E133" t="str">
        <f>"0553214322"</f>
        <v>0553214322</v>
      </c>
      <c r="F133" t="str">
        <f>"9780553214321"</f>
        <v>9780553214321</v>
      </c>
      <c r="G133">
        <v>2</v>
      </c>
      <c r="H133">
        <v>3.73</v>
      </c>
      <c r="I133" t="s">
        <v>1263</v>
      </c>
      <c r="J133" t="s">
        <v>1507</v>
      </c>
      <c r="K133">
        <v>153</v>
      </c>
      <c r="L133">
        <v>1994</v>
      </c>
      <c r="M133">
        <v>1896</v>
      </c>
      <c r="O133" t="s">
        <v>1590</v>
      </c>
      <c r="P133" t="s">
        <v>1713</v>
      </c>
      <c r="T133">
        <v>1</v>
      </c>
      <c r="W133">
        <v>0</v>
      </c>
    </row>
    <row r="134" spans="1:23" x14ac:dyDescent="0.2">
      <c r="A134" s="1">
        <v>132</v>
      </c>
      <c r="B134">
        <v>3758</v>
      </c>
      <c r="C134" t="s">
        <v>159</v>
      </c>
      <c r="D134" t="s">
        <v>783</v>
      </c>
      <c r="E134" t="str">
        <f>"014200202X"</f>
        <v>014200202X</v>
      </c>
      <c r="F134" t="str">
        <f>"9780142002025"</f>
        <v>9780142002025</v>
      </c>
      <c r="G134">
        <v>2</v>
      </c>
      <c r="H134">
        <v>3.74</v>
      </c>
      <c r="I134" t="s">
        <v>1210</v>
      </c>
      <c r="J134" t="s">
        <v>1507</v>
      </c>
      <c r="K134">
        <v>192</v>
      </c>
      <c r="L134">
        <v>2002</v>
      </c>
      <c r="M134">
        <v>1953</v>
      </c>
      <c r="O134" t="s">
        <v>1590</v>
      </c>
      <c r="P134" t="s">
        <v>1713</v>
      </c>
      <c r="T134">
        <v>1</v>
      </c>
      <c r="W134">
        <v>0</v>
      </c>
    </row>
    <row r="135" spans="1:23" x14ac:dyDescent="0.2">
      <c r="A135" s="1">
        <v>133</v>
      </c>
      <c r="B135">
        <v>43015</v>
      </c>
      <c r="C135" t="s">
        <v>160</v>
      </c>
      <c r="D135" t="s">
        <v>784</v>
      </c>
      <c r="E135" t="str">
        <f>"0374105235"</f>
        <v>0374105235</v>
      </c>
      <c r="F135" t="str">
        <f>"9780374105235"</f>
        <v>9780374105235</v>
      </c>
      <c r="G135">
        <v>2</v>
      </c>
      <c r="H135">
        <v>4.1500000000000004</v>
      </c>
      <c r="I135" t="s">
        <v>1264</v>
      </c>
      <c r="J135" t="s">
        <v>1509</v>
      </c>
      <c r="K135">
        <v>229</v>
      </c>
      <c r="L135">
        <v>2007</v>
      </c>
      <c r="M135">
        <v>2007</v>
      </c>
      <c r="O135" t="s">
        <v>1590</v>
      </c>
      <c r="P135" t="s">
        <v>1713</v>
      </c>
      <c r="T135">
        <v>1</v>
      </c>
      <c r="W135">
        <v>0</v>
      </c>
    </row>
    <row r="136" spans="1:23" x14ac:dyDescent="0.2">
      <c r="A136" s="1">
        <v>134</v>
      </c>
      <c r="B136">
        <v>5907</v>
      </c>
      <c r="C136" t="s">
        <v>161</v>
      </c>
      <c r="D136" t="s">
        <v>785</v>
      </c>
      <c r="E136" t="str">
        <f>"0618260307"</f>
        <v>0618260307</v>
      </c>
      <c r="F136" t="str">
        <f>"9780618260300"</f>
        <v>9780618260300</v>
      </c>
      <c r="G136">
        <v>3</v>
      </c>
      <c r="H136">
        <v>4.2699999999999996</v>
      </c>
      <c r="I136" t="s">
        <v>1265</v>
      </c>
      <c r="J136" t="s">
        <v>1507</v>
      </c>
      <c r="K136">
        <v>366</v>
      </c>
      <c r="L136">
        <v>2002</v>
      </c>
      <c r="M136">
        <v>1937</v>
      </c>
      <c r="O136" t="s">
        <v>1590</v>
      </c>
      <c r="P136" t="s">
        <v>1713</v>
      </c>
      <c r="T136">
        <v>1</v>
      </c>
      <c r="W136">
        <v>0</v>
      </c>
    </row>
    <row r="137" spans="1:23" x14ac:dyDescent="0.2">
      <c r="A137" s="1">
        <v>135</v>
      </c>
      <c r="B137">
        <v>39092290</v>
      </c>
      <c r="C137" t="s">
        <v>162</v>
      </c>
      <c r="D137" t="s">
        <v>786</v>
      </c>
      <c r="E137" t="str">
        <f>""</f>
        <v/>
      </c>
      <c r="F137" t="str">
        <f>""</f>
        <v/>
      </c>
      <c r="G137">
        <v>4</v>
      </c>
      <c r="H137">
        <v>3.93</v>
      </c>
      <c r="I137" t="s">
        <v>1266</v>
      </c>
      <c r="J137" t="s">
        <v>1511</v>
      </c>
      <c r="K137">
        <v>142</v>
      </c>
      <c r="L137">
        <v>2012</v>
      </c>
      <c r="M137">
        <v>1933</v>
      </c>
      <c r="O137" t="s">
        <v>1590</v>
      </c>
      <c r="P137" t="s">
        <v>1713</v>
      </c>
      <c r="T137">
        <v>1</v>
      </c>
      <c r="W137">
        <v>0</v>
      </c>
    </row>
    <row r="138" spans="1:23" x14ac:dyDescent="0.2">
      <c r="A138" s="1">
        <v>136</v>
      </c>
      <c r="B138">
        <v>5308</v>
      </c>
      <c r="C138" t="s">
        <v>163</v>
      </c>
      <c r="D138" t="s">
        <v>723</v>
      </c>
      <c r="E138" t="str">
        <f>"0142000698"</f>
        <v>0142000698</v>
      </c>
      <c r="F138" t="str">
        <f>"9780142000694"</f>
        <v>9780142000694</v>
      </c>
      <c r="G138">
        <v>2</v>
      </c>
      <c r="H138">
        <v>3.48</v>
      </c>
      <c r="I138" t="s">
        <v>1174</v>
      </c>
      <c r="J138" t="s">
        <v>1507</v>
      </c>
      <c r="K138">
        <v>96</v>
      </c>
      <c r="L138">
        <v>2002</v>
      </c>
      <c r="M138">
        <v>1947</v>
      </c>
      <c r="O138" t="s">
        <v>1590</v>
      </c>
      <c r="P138" t="s">
        <v>1713</v>
      </c>
      <c r="T138">
        <v>1</v>
      </c>
      <c r="W138">
        <v>0</v>
      </c>
    </row>
    <row r="139" spans="1:23" x14ac:dyDescent="0.2">
      <c r="A139" s="1">
        <v>137</v>
      </c>
      <c r="B139">
        <v>32831</v>
      </c>
      <c r="C139" t="s">
        <v>164</v>
      </c>
      <c r="D139" t="s">
        <v>787</v>
      </c>
      <c r="E139" t="str">
        <f>"0812972120"</f>
        <v>0812972120</v>
      </c>
      <c r="F139" t="str">
        <f>"9780812972122"</f>
        <v>9780812972122</v>
      </c>
      <c r="G139">
        <v>3</v>
      </c>
      <c r="H139">
        <v>4.1100000000000003</v>
      </c>
      <c r="I139" t="s">
        <v>1267</v>
      </c>
      <c r="J139" t="s">
        <v>1510</v>
      </c>
      <c r="K139">
        <v>723</v>
      </c>
      <c r="L139">
        <v>2004</v>
      </c>
      <c r="M139">
        <v>1865</v>
      </c>
      <c r="O139" t="s">
        <v>1590</v>
      </c>
      <c r="P139" t="s">
        <v>1713</v>
      </c>
      <c r="T139">
        <v>1</v>
      </c>
      <c r="W139">
        <v>0</v>
      </c>
    </row>
    <row r="140" spans="1:23" x14ac:dyDescent="0.2">
      <c r="A140" s="1">
        <v>138</v>
      </c>
      <c r="B140">
        <v>33507</v>
      </c>
      <c r="C140" t="s">
        <v>165</v>
      </c>
      <c r="D140" t="s">
        <v>787</v>
      </c>
      <c r="E140" t="str">
        <f>"076072850X"</f>
        <v>076072850X</v>
      </c>
      <c r="F140" t="str">
        <f>"9780760728505"</f>
        <v>9780760728505</v>
      </c>
      <c r="G140">
        <v>4</v>
      </c>
      <c r="H140">
        <v>3.89</v>
      </c>
      <c r="I140" t="s">
        <v>1268</v>
      </c>
      <c r="J140" t="s">
        <v>1509</v>
      </c>
      <c r="K140">
        <v>394</v>
      </c>
      <c r="L140">
        <v>2002</v>
      </c>
      <c r="M140">
        <v>1870</v>
      </c>
      <c r="O140" t="s">
        <v>1590</v>
      </c>
      <c r="P140" t="s">
        <v>1713</v>
      </c>
      <c r="T140">
        <v>1</v>
      </c>
      <c r="W140">
        <v>0</v>
      </c>
    </row>
    <row r="141" spans="1:23" x14ac:dyDescent="0.2">
      <c r="A141" s="1">
        <v>139</v>
      </c>
      <c r="B141">
        <v>27127656</v>
      </c>
      <c r="C141" t="s">
        <v>166</v>
      </c>
      <c r="D141" t="s">
        <v>514</v>
      </c>
      <c r="E141" t="str">
        <f>"1517514614"</f>
        <v>1517514614</v>
      </c>
      <c r="F141" t="str">
        <f>"9781517514617"</f>
        <v>9781517514617</v>
      </c>
      <c r="G141">
        <v>3</v>
      </c>
      <c r="H141">
        <v>3.33</v>
      </c>
      <c r="I141" t="s">
        <v>1269</v>
      </c>
      <c r="J141" t="s">
        <v>1507</v>
      </c>
      <c r="K141">
        <v>738</v>
      </c>
      <c r="L141">
        <v>2015</v>
      </c>
      <c r="M141">
        <v>2015</v>
      </c>
      <c r="O141" t="s">
        <v>1590</v>
      </c>
      <c r="P141" t="s">
        <v>1713</v>
      </c>
      <c r="T141">
        <v>1</v>
      </c>
      <c r="W141">
        <v>0</v>
      </c>
    </row>
    <row r="142" spans="1:23" x14ac:dyDescent="0.2">
      <c r="A142" s="1">
        <v>140</v>
      </c>
      <c r="B142">
        <v>78127</v>
      </c>
      <c r="C142" t="s">
        <v>167</v>
      </c>
      <c r="D142" t="s">
        <v>788</v>
      </c>
      <c r="E142" t="str">
        <f>"0316191442"</f>
        <v>0316191442</v>
      </c>
      <c r="F142" t="str">
        <f>"9780316191449"</f>
        <v>9780316191449</v>
      </c>
      <c r="G142">
        <v>4</v>
      </c>
      <c r="H142">
        <v>4.16</v>
      </c>
      <c r="I142" t="s">
        <v>1175</v>
      </c>
      <c r="J142" t="s">
        <v>1507</v>
      </c>
      <c r="K142">
        <v>367</v>
      </c>
      <c r="L142">
        <v>2003</v>
      </c>
      <c r="M142">
        <v>1995</v>
      </c>
      <c r="O142" t="s">
        <v>1590</v>
      </c>
      <c r="P142" t="s">
        <v>1713</v>
      </c>
      <c r="T142">
        <v>1</v>
      </c>
      <c r="W142">
        <v>0</v>
      </c>
    </row>
    <row r="143" spans="1:23" x14ac:dyDescent="0.2">
      <c r="A143" s="1">
        <v>141</v>
      </c>
      <c r="B143">
        <v>6289283</v>
      </c>
      <c r="C143" t="s">
        <v>168</v>
      </c>
      <c r="D143" t="s">
        <v>789</v>
      </c>
      <c r="E143" t="str">
        <f>"0307266303"</f>
        <v>0307266303</v>
      </c>
      <c r="F143" t="str">
        <f>"9780307266309"</f>
        <v>9780307266309</v>
      </c>
      <c r="G143">
        <v>2</v>
      </c>
      <c r="H143">
        <v>4.29</v>
      </c>
      <c r="I143" t="s">
        <v>1270</v>
      </c>
      <c r="J143" t="s">
        <v>1509</v>
      </c>
      <c r="K143">
        <v>287</v>
      </c>
      <c r="L143">
        <v>2009</v>
      </c>
      <c r="M143">
        <v>2009</v>
      </c>
      <c r="O143" t="s">
        <v>1591</v>
      </c>
      <c r="P143" t="s">
        <v>1713</v>
      </c>
      <c r="T143">
        <v>1</v>
      </c>
      <c r="W143">
        <v>0</v>
      </c>
    </row>
    <row r="144" spans="1:23" x14ac:dyDescent="0.2">
      <c r="A144" s="1">
        <v>142</v>
      </c>
      <c r="B144">
        <v>39999</v>
      </c>
      <c r="C144" t="s">
        <v>169</v>
      </c>
      <c r="D144" t="s">
        <v>790</v>
      </c>
      <c r="E144" t="str">
        <f>""</f>
        <v/>
      </c>
      <c r="F144" t="str">
        <f>""</f>
        <v/>
      </c>
      <c r="G144">
        <v>4</v>
      </c>
      <c r="H144">
        <v>4.1500000000000004</v>
      </c>
      <c r="I144" t="s">
        <v>1271</v>
      </c>
      <c r="J144" t="s">
        <v>1509</v>
      </c>
      <c r="K144">
        <v>240</v>
      </c>
      <c r="L144">
        <v>2006</v>
      </c>
      <c r="M144">
        <v>2006</v>
      </c>
      <c r="O144" t="s">
        <v>1559</v>
      </c>
      <c r="P144" t="s">
        <v>1713</v>
      </c>
      <c r="T144">
        <v>1</v>
      </c>
      <c r="W144">
        <v>0</v>
      </c>
    </row>
    <row r="145" spans="1:23" x14ac:dyDescent="0.2">
      <c r="A145" s="1">
        <v>143</v>
      </c>
      <c r="B145">
        <v>13079982</v>
      </c>
      <c r="C145" t="s">
        <v>170</v>
      </c>
      <c r="D145" t="s">
        <v>791</v>
      </c>
      <c r="E145" t="str">
        <f>""</f>
        <v/>
      </c>
      <c r="F145" t="str">
        <f>""</f>
        <v/>
      </c>
      <c r="G145">
        <v>4</v>
      </c>
      <c r="H145">
        <v>3.99</v>
      </c>
      <c r="I145" t="s">
        <v>1245</v>
      </c>
      <c r="J145" t="s">
        <v>1511</v>
      </c>
      <c r="K145">
        <v>194</v>
      </c>
      <c r="L145">
        <v>2011</v>
      </c>
      <c r="M145">
        <v>1953</v>
      </c>
      <c r="O145" t="s">
        <v>1592</v>
      </c>
      <c r="P145" t="s">
        <v>1713</v>
      </c>
      <c r="T145">
        <v>1</v>
      </c>
      <c r="W145">
        <v>0</v>
      </c>
    </row>
    <row r="146" spans="1:23" x14ac:dyDescent="0.2">
      <c r="A146" s="1">
        <v>144</v>
      </c>
      <c r="B146">
        <v>26125009</v>
      </c>
      <c r="C146" t="s">
        <v>171</v>
      </c>
      <c r="D146" t="s">
        <v>792</v>
      </c>
      <c r="E146" t="str">
        <f>""</f>
        <v/>
      </c>
      <c r="F146" t="str">
        <f>""</f>
        <v/>
      </c>
      <c r="G146">
        <v>5</v>
      </c>
      <c r="H146">
        <v>4.55</v>
      </c>
      <c r="I146" t="s">
        <v>1272</v>
      </c>
      <c r="J146" t="s">
        <v>1511</v>
      </c>
      <c r="K146">
        <v>239</v>
      </c>
      <c r="L146">
        <v>2015</v>
      </c>
      <c r="M146">
        <v>2015</v>
      </c>
      <c r="O146" t="s">
        <v>1593</v>
      </c>
      <c r="P146" t="s">
        <v>1713</v>
      </c>
      <c r="T146">
        <v>1</v>
      </c>
      <c r="W146">
        <v>0</v>
      </c>
    </row>
    <row r="147" spans="1:23" x14ac:dyDescent="0.2">
      <c r="A147" s="1">
        <v>145</v>
      </c>
      <c r="B147">
        <v>32074951</v>
      </c>
      <c r="C147" t="s">
        <v>172</v>
      </c>
      <c r="D147" t="s">
        <v>793</v>
      </c>
      <c r="E147" t="str">
        <f>"1537666932"</f>
        <v>1537666932</v>
      </c>
      <c r="F147" t="str">
        <f>"9781537666938"</f>
        <v>9781537666938</v>
      </c>
      <c r="G147">
        <v>5</v>
      </c>
      <c r="H147">
        <v>4.62</v>
      </c>
      <c r="I147" t="s">
        <v>1273</v>
      </c>
      <c r="J147" t="s">
        <v>1507</v>
      </c>
      <c r="K147">
        <v>140</v>
      </c>
      <c r="L147">
        <v>2016</v>
      </c>
      <c r="O147" t="s">
        <v>1594</v>
      </c>
      <c r="P147" t="s">
        <v>1713</v>
      </c>
      <c r="T147">
        <v>1</v>
      </c>
      <c r="W147">
        <v>0</v>
      </c>
    </row>
    <row r="148" spans="1:23" x14ac:dyDescent="0.2">
      <c r="A148" s="1">
        <v>146</v>
      </c>
      <c r="B148">
        <v>1953</v>
      </c>
      <c r="C148" t="s">
        <v>173</v>
      </c>
      <c r="D148" t="s">
        <v>794</v>
      </c>
      <c r="E148" t="str">
        <f>"0141439602"</f>
        <v>0141439602</v>
      </c>
      <c r="F148" t="str">
        <f>"9780141439600"</f>
        <v>9780141439600</v>
      </c>
      <c r="G148">
        <v>4</v>
      </c>
      <c r="H148">
        <v>3.85</v>
      </c>
      <c r="I148" t="s">
        <v>1174</v>
      </c>
      <c r="J148" t="s">
        <v>1507</v>
      </c>
      <c r="K148">
        <v>489</v>
      </c>
      <c r="L148">
        <v>2003</v>
      </c>
      <c r="M148">
        <v>1859</v>
      </c>
      <c r="O148" t="s">
        <v>1594</v>
      </c>
      <c r="P148" t="s">
        <v>1713</v>
      </c>
      <c r="T148">
        <v>1</v>
      </c>
      <c r="W148">
        <v>0</v>
      </c>
    </row>
    <row r="149" spans="1:23" x14ac:dyDescent="0.2">
      <c r="A149" s="1">
        <v>147</v>
      </c>
      <c r="B149">
        <v>426504</v>
      </c>
      <c r="C149" t="s">
        <v>174</v>
      </c>
      <c r="D149" t="s">
        <v>795</v>
      </c>
      <c r="E149" t="str">
        <f>"0802130305"</f>
        <v>0802130305</v>
      </c>
      <c r="F149" t="str">
        <f>"9780802130303"</f>
        <v>9780802130303</v>
      </c>
      <c r="G149">
        <v>1</v>
      </c>
      <c r="H149">
        <v>4.4400000000000004</v>
      </c>
      <c r="I149" t="s">
        <v>1274</v>
      </c>
      <c r="J149" t="s">
        <v>1507</v>
      </c>
      <c r="K149">
        <v>174</v>
      </c>
      <c r="L149">
        <v>1994</v>
      </c>
      <c r="M149">
        <v>1944</v>
      </c>
      <c r="N149" t="s">
        <v>1519</v>
      </c>
      <c r="O149" t="s">
        <v>1595</v>
      </c>
      <c r="P149" t="s">
        <v>1713</v>
      </c>
      <c r="T149">
        <v>1</v>
      </c>
      <c r="W149">
        <v>0</v>
      </c>
    </row>
    <row r="150" spans="1:23" x14ac:dyDescent="0.2">
      <c r="A150" s="1">
        <v>148</v>
      </c>
      <c r="B150">
        <v>83017</v>
      </c>
      <c r="C150" t="s">
        <v>175</v>
      </c>
      <c r="D150" t="s">
        <v>796</v>
      </c>
      <c r="E150" t="str">
        <f>"1567923046"</f>
        <v>1567923046</v>
      </c>
      <c r="F150" t="str">
        <f>"9781567923049"</f>
        <v>9781567923049</v>
      </c>
      <c r="G150">
        <v>5</v>
      </c>
      <c r="H150">
        <v>4.1900000000000004</v>
      </c>
      <c r="I150" t="s">
        <v>1184</v>
      </c>
      <c r="J150" t="s">
        <v>1507</v>
      </c>
      <c r="K150">
        <v>198</v>
      </c>
      <c r="L150">
        <v>2005</v>
      </c>
      <c r="M150">
        <v>1940</v>
      </c>
      <c r="O150" t="s">
        <v>1596</v>
      </c>
      <c r="P150" t="s">
        <v>1713</v>
      </c>
      <c r="T150">
        <v>0</v>
      </c>
      <c r="W150">
        <v>0</v>
      </c>
    </row>
    <row r="151" spans="1:23" x14ac:dyDescent="0.2">
      <c r="A151" s="1">
        <v>149</v>
      </c>
      <c r="B151">
        <v>102868</v>
      </c>
      <c r="C151" t="s">
        <v>176</v>
      </c>
      <c r="D151" t="s">
        <v>769</v>
      </c>
      <c r="E151" t="str">
        <f>"1420925539"</f>
        <v>1420925539</v>
      </c>
      <c r="F151" t="str">
        <f>"9781420925531"</f>
        <v>9781420925531</v>
      </c>
      <c r="G151">
        <v>4</v>
      </c>
      <c r="H151">
        <v>4.16</v>
      </c>
      <c r="I151" t="s">
        <v>1275</v>
      </c>
      <c r="J151" t="s">
        <v>1507</v>
      </c>
      <c r="K151">
        <v>123</v>
      </c>
      <c r="L151">
        <v>2005</v>
      </c>
      <c r="M151">
        <v>1887</v>
      </c>
      <c r="O151" t="s">
        <v>1597</v>
      </c>
      <c r="P151" t="s">
        <v>1713</v>
      </c>
      <c r="T151">
        <v>1</v>
      </c>
      <c r="W151">
        <v>0</v>
      </c>
    </row>
    <row r="152" spans="1:23" x14ac:dyDescent="0.2">
      <c r="A152" s="1">
        <v>150</v>
      </c>
      <c r="B152">
        <v>8921</v>
      </c>
      <c r="C152" t="s">
        <v>177</v>
      </c>
      <c r="D152" t="s">
        <v>769</v>
      </c>
      <c r="E152" t="str">
        <f>""</f>
        <v/>
      </c>
      <c r="F152" t="str">
        <f>""</f>
        <v/>
      </c>
      <c r="G152">
        <v>3</v>
      </c>
      <c r="H152">
        <v>4.12</v>
      </c>
      <c r="I152" t="s">
        <v>1178</v>
      </c>
      <c r="J152" t="s">
        <v>1510</v>
      </c>
      <c r="K152">
        <v>256</v>
      </c>
      <c r="L152">
        <v>2001</v>
      </c>
      <c r="M152">
        <v>1902</v>
      </c>
      <c r="O152" t="s">
        <v>1597</v>
      </c>
      <c r="P152" t="s">
        <v>1713</v>
      </c>
      <c r="T152">
        <v>1</v>
      </c>
      <c r="W152">
        <v>0</v>
      </c>
    </row>
    <row r="153" spans="1:23" x14ac:dyDescent="0.2">
      <c r="A153" s="1">
        <v>151</v>
      </c>
      <c r="B153">
        <v>43070</v>
      </c>
      <c r="C153" t="s">
        <v>178</v>
      </c>
      <c r="D153" t="s">
        <v>797</v>
      </c>
      <c r="E153" t="str">
        <f>"0836218051"</f>
        <v>0836218051</v>
      </c>
      <c r="F153" t="str">
        <f>"9780836218053"</f>
        <v>9780836218053</v>
      </c>
      <c r="G153">
        <v>5</v>
      </c>
      <c r="H153">
        <v>4.6399999999999997</v>
      </c>
      <c r="I153" t="s">
        <v>1276</v>
      </c>
      <c r="J153" t="s">
        <v>1507</v>
      </c>
      <c r="K153">
        <v>256</v>
      </c>
      <c r="L153">
        <v>1988</v>
      </c>
      <c r="M153">
        <v>1988</v>
      </c>
      <c r="O153" t="s">
        <v>1598</v>
      </c>
      <c r="P153" t="s">
        <v>1713</v>
      </c>
      <c r="T153">
        <v>1</v>
      </c>
      <c r="W153">
        <v>0</v>
      </c>
    </row>
    <row r="154" spans="1:23" x14ac:dyDescent="0.2">
      <c r="A154" s="1">
        <v>152</v>
      </c>
      <c r="B154">
        <v>391206</v>
      </c>
      <c r="C154" t="s">
        <v>179</v>
      </c>
      <c r="D154" t="s">
        <v>798</v>
      </c>
      <c r="E154" t="str">
        <f>"1860462944"</f>
        <v>1860462944</v>
      </c>
      <c r="F154" t="str">
        <f>"9781860462948"</f>
        <v>9781860462948</v>
      </c>
      <c r="G154">
        <v>3</v>
      </c>
      <c r="H154">
        <v>4.0599999999999996</v>
      </c>
      <c r="I154" t="s">
        <v>1277</v>
      </c>
      <c r="J154" t="s">
        <v>1507</v>
      </c>
      <c r="K154">
        <v>213</v>
      </c>
      <c r="L154">
        <v>1997</v>
      </c>
      <c r="M154">
        <v>1958</v>
      </c>
      <c r="O154" t="s">
        <v>1599</v>
      </c>
      <c r="P154" t="s">
        <v>1713</v>
      </c>
      <c r="T154">
        <v>1</v>
      </c>
      <c r="W154">
        <v>0</v>
      </c>
    </row>
    <row r="155" spans="1:23" x14ac:dyDescent="0.2">
      <c r="A155" s="1">
        <v>153</v>
      </c>
      <c r="B155">
        <v>228665</v>
      </c>
      <c r="C155" t="s">
        <v>180</v>
      </c>
      <c r="D155" t="s">
        <v>799</v>
      </c>
      <c r="E155" t="str">
        <f>"0812511816"</f>
        <v>0812511816</v>
      </c>
      <c r="F155" t="str">
        <f>"9780812511819"</f>
        <v>9780812511819</v>
      </c>
      <c r="G155">
        <v>0</v>
      </c>
      <c r="H155">
        <v>4.17</v>
      </c>
      <c r="I155" t="s">
        <v>1278</v>
      </c>
      <c r="J155" t="s">
        <v>1510</v>
      </c>
      <c r="K155">
        <v>814</v>
      </c>
      <c r="L155">
        <v>1990</v>
      </c>
      <c r="M155">
        <v>1990</v>
      </c>
      <c r="O155" t="s">
        <v>1600</v>
      </c>
      <c r="P155" t="s">
        <v>1711</v>
      </c>
      <c r="T155">
        <v>0</v>
      </c>
      <c r="W155">
        <v>0</v>
      </c>
    </row>
    <row r="156" spans="1:23" x14ac:dyDescent="0.2">
      <c r="A156" s="1">
        <v>154</v>
      </c>
      <c r="B156">
        <v>463361</v>
      </c>
      <c r="C156" t="s">
        <v>181</v>
      </c>
      <c r="D156" t="s">
        <v>800</v>
      </c>
      <c r="E156" t="str">
        <f>"031289032X"</f>
        <v>031289032X</v>
      </c>
      <c r="F156" t="str">
        <f>"9780312890322"</f>
        <v>9780312890322</v>
      </c>
      <c r="G156">
        <v>0</v>
      </c>
      <c r="H156">
        <v>3.66</v>
      </c>
      <c r="I156" t="s">
        <v>1279</v>
      </c>
      <c r="J156" t="s">
        <v>1507</v>
      </c>
      <c r="K156">
        <v>253</v>
      </c>
      <c r="L156">
        <v>1996</v>
      </c>
      <c r="M156">
        <v>1976</v>
      </c>
      <c r="O156" t="s">
        <v>1600</v>
      </c>
      <c r="P156" t="s">
        <v>1711</v>
      </c>
      <c r="T156">
        <v>0</v>
      </c>
      <c r="W156">
        <v>0</v>
      </c>
    </row>
    <row r="157" spans="1:23" x14ac:dyDescent="0.2">
      <c r="A157" s="1">
        <v>155</v>
      </c>
      <c r="B157">
        <v>463367</v>
      </c>
      <c r="C157" t="s">
        <v>182</v>
      </c>
      <c r="D157" t="s">
        <v>800</v>
      </c>
      <c r="E157" t="str">
        <f>"0312863047"</f>
        <v>0312863047</v>
      </c>
      <c r="F157" t="str">
        <f>"9780312863043"</f>
        <v>9780312863043</v>
      </c>
      <c r="G157">
        <v>0</v>
      </c>
      <c r="H157">
        <v>3.34</v>
      </c>
      <c r="I157" t="s">
        <v>1279</v>
      </c>
      <c r="J157" t="s">
        <v>1507</v>
      </c>
      <c r="K157">
        <v>278</v>
      </c>
      <c r="L157">
        <v>1997</v>
      </c>
      <c r="M157">
        <v>1990</v>
      </c>
      <c r="O157" t="s">
        <v>1600</v>
      </c>
      <c r="P157" t="s">
        <v>1711</v>
      </c>
      <c r="T157">
        <v>0</v>
      </c>
      <c r="W157">
        <v>0</v>
      </c>
    </row>
    <row r="158" spans="1:23" x14ac:dyDescent="0.2">
      <c r="A158" s="1">
        <v>156</v>
      </c>
      <c r="B158">
        <v>190372</v>
      </c>
      <c r="C158" t="s">
        <v>183</v>
      </c>
      <c r="D158" t="s">
        <v>801</v>
      </c>
      <c r="E158" t="str">
        <f>"0786887001"</f>
        <v>0786887001</v>
      </c>
      <c r="F158" t="str">
        <f>"9780786887002"</f>
        <v>9780786887002</v>
      </c>
      <c r="G158">
        <v>0</v>
      </c>
      <c r="H158">
        <v>4.16</v>
      </c>
      <c r="I158" t="s">
        <v>1280</v>
      </c>
      <c r="J158" t="s">
        <v>1507</v>
      </c>
      <c r="K158">
        <v>530</v>
      </c>
      <c r="L158">
        <v>2002</v>
      </c>
      <c r="M158">
        <v>2000</v>
      </c>
      <c r="O158" t="s">
        <v>1600</v>
      </c>
      <c r="P158" t="s">
        <v>1711</v>
      </c>
      <c r="T158">
        <v>0</v>
      </c>
      <c r="W158">
        <v>0</v>
      </c>
    </row>
    <row r="159" spans="1:23" x14ac:dyDescent="0.2">
      <c r="A159" s="1">
        <v>157</v>
      </c>
      <c r="B159">
        <v>42036377</v>
      </c>
      <c r="C159" t="s">
        <v>184</v>
      </c>
      <c r="D159" t="s">
        <v>802</v>
      </c>
      <c r="E159" t="str">
        <f>""</f>
        <v/>
      </c>
      <c r="F159" t="str">
        <f>""</f>
        <v/>
      </c>
      <c r="G159">
        <v>0</v>
      </c>
      <c r="H159">
        <v>4.29</v>
      </c>
      <c r="J159" t="s">
        <v>1511</v>
      </c>
      <c r="K159">
        <v>609</v>
      </c>
      <c r="L159">
        <v>2018</v>
      </c>
      <c r="O159" t="s">
        <v>1600</v>
      </c>
      <c r="P159" t="s">
        <v>1711</v>
      </c>
      <c r="T159">
        <v>0</v>
      </c>
      <c r="W159">
        <v>0</v>
      </c>
    </row>
    <row r="160" spans="1:23" x14ac:dyDescent="0.2">
      <c r="A160" s="1">
        <v>158</v>
      </c>
      <c r="B160">
        <v>43889</v>
      </c>
      <c r="C160" t="s">
        <v>185</v>
      </c>
      <c r="D160" t="s">
        <v>803</v>
      </c>
      <c r="E160" t="str">
        <f>"0765346524"</f>
        <v>0765346524</v>
      </c>
      <c r="F160" t="str">
        <f>"9780765346520"</f>
        <v>9780765346520</v>
      </c>
      <c r="G160">
        <v>0</v>
      </c>
      <c r="H160">
        <v>4.12</v>
      </c>
      <c r="I160" t="s">
        <v>1278</v>
      </c>
      <c r="J160" t="s">
        <v>1507</v>
      </c>
      <c r="K160">
        <v>836</v>
      </c>
      <c r="L160">
        <v>2003</v>
      </c>
      <c r="M160">
        <v>1994</v>
      </c>
      <c r="O160" t="s">
        <v>1600</v>
      </c>
      <c r="P160" t="s">
        <v>1711</v>
      </c>
      <c r="T160">
        <v>0</v>
      </c>
      <c r="W160">
        <v>0</v>
      </c>
    </row>
    <row r="161" spans="1:23" x14ac:dyDescent="0.2">
      <c r="A161" s="1">
        <v>159</v>
      </c>
      <c r="B161">
        <v>45974</v>
      </c>
      <c r="C161" t="s">
        <v>186</v>
      </c>
      <c r="D161" t="s">
        <v>804</v>
      </c>
      <c r="E161" t="str">
        <f>"0141183047"</f>
        <v>0141183047</v>
      </c>
      <c r="F161" t="str">
        <f>"9780141183046"</f>
        <v>9780141183046</v>
      </c>
      <c r="G161">
        <v>0</v>
      </c>
      <c r="H161">
        <v>4.4400000000000004</v>
      </c>
      <c r="I161" t="s">
        <v>1213</v>
      </c>
      <c r="J161" t="s">
        <v>1507</v>
      </c>
      <c r="K161">
        <v>544</v>
      </c>
      <c r="L161">
        <v>2002</v>
      </c>
      <c r="M161">
        <v>1982</v>
      </c>
      <c r="O161" t="s">
        <v>1601</v>
      </c>
      <c r="P161" t="s">
        <v>1711</v>
      </c>
      <c r="T161">
        <v>0</v>
      </c>
      <c r="W161">
        <v>0</v>
      </c>
    </row>
    <row r="162" spans="1:23" x14ac:dyDescent="0.2">
      <c r="A162" s="1">
        <v>160</v>
      </c>
      <c r="B162">
        <v>10310142</v>
      </c>
      <c r="C162" t="s">
        <v>187</v>
      </c>
      <c r="D162" t="s">
        <v>805</v>
      </c>
      <c r="E162" t="str">
        <f>"0786734256"</f>
        <v>0786734256</v>
      </c>
      <c r="F162" t="str">
        <f>"9780786734252"</f>
        <v>9780786734252</v>
      </c>
      <c r="G162">
        <v>0</v>
      </c>
      <c r="H162">
        <v>4</v>
      </c>
      <c r="I162" t="s">
        <v>1281</v>
      </c>
      <c r="J162" t="s">
        <v>1508</v>
      </c>
      <c r="K162">
        <v>355</v>
      </c>
      <c r="L162">
        <v>2014</v>
      </c>
      <c r="M162">
        <v>2007</v>
      </c>
      <c r="O162" t="s">
        <v>1601</v>
      </c>
      <c r="P162" t="s">
        <v>1711</v>
      </c>
      <c r="T162">
        <v>0</v>
      </c>
      <c r="W162">
        <v>0</v>
      </c>
    </row>
    <row r="163" spans="1:23" x14ac:dyDescent="0.2">
      <c r="A163" s="1">
        <v>161</v>
      </c>
      <c r="B163">
        <v>76548</v>
      </c>
      <c r="C163" t="s">
        <v>188</v>
      </c>
      <c r="D163" t="s">
        <v>806</v>
      </c>
      <c r="E163" t="str">
        <f>"0374530742"</f>
        <v>0374530742</v>
      </c>
      <c r="F163" t="str">
        <f>"9780374530747"</f>
        <v>9780374530747</v>
      </c>
      <c r="G163">
        <v>0</v>
      </c>
      <c r="H163">
        <v>4.18</v>
      </c>
      <c r="I163" t="s">
        <v>1176</v>
      </c>
      <c r="J163" t="s">
        <v>1507</v>
      </c>
      <c r="K163">
        <v>79</v>
      </c>
      <c r="L163">
        <v>2007</v>
      </c>
      <c r="M163">
        <v>2006</v>
      </c>
      <c r="O163" t="s">
        <v>1602</v>
      </c>
      <c r="P163" t="s">
        <v>1711</v>
      </c>
      <c r="T163">
        <v>0</v>
      </c>
      <c r="W163">
        <v>0</v>
      </c>
    </row>
    <row r="164" spans="1:23" x14ac:dyDescent="0.2">
      <c r="A164" s="1">
        <v>162</v>
      </c>
      <c r="B164">
        <v>76546</v>
      </c>
      <c r="C164" t="s">
        <v>189</v>
      </c>
      <c r="D164" t="s">
        <v>806</v>
      </c>
      <c r="E164" t="str">
        <f>"0880013346"</f>
        <v>0880013346</v>
      </c>
      <c r="F164" t="str">
        <f>"9780880013345"</f>
        <v>9780880013345</v>
      </c>
      <c r="G164">
        <v>0</v>
      </c>
      <c r="H164">
        <v>4.2</v>
      </c>
      <c r="I164" t="s">
        <v>1282</v>
      </c>
      <c r="J164" t="s">
        <v>1507</v>
      </c>
      <c r="K164">
        <v>63</v>
      </c>
      <c r="L164">
        <v>1993</v>
      </c>
      <c r="M164">
        <v>1992</v>
      </c>
      <c r="O164" t="s">
        <v>1602</v>
      </c>
      <c r="P164" t="s">
        <v>1711</v>
      </c>
      <c r="T164">
        <v>0</v>
      </c>
      <c r="W164">
        <v>0</v>
      </c>
    </row>
    <row r="165" spans="1:23" x14ac:dyDescent="0.2">
      <c r="A165" s="1">
        <v>163</v>
      </c>
      <c r="B165">
        <v>12031563</v>
      </c>
      <c r="C165" t="s">
        <v>190</v>
      </c>
      <c r="D165" t="s">
        <v>807</v>
      </c>
      <c r="E165" t="str">
        <f>"0307453421"</f>
        <v>0307453421</v>
      </c>
      <c r="F165" t="str">
        <f>"9780307453426"</f>
        <v>9780307453426</v>
      </c>
      <c r="G165">
        <v>0</v>
      </c>
      <c r="H165">
        <v>3.78</v>
      </c>
      <c r="I165" t="s">
        <v>1283</v>
      </c>
      <c r="J165" t="s">
        <v>1509</v>
      </c>
      <c r="K165">
        <v>416</v>
      </c>
      <c r="L165">
        <v>2012</v>
      </c>
      <c r="M165">
        <v>2012</v>
      </c>
      <c r="O165" t="s">
        <v>1603</v>
      </c>
      <c r="P165" t="s">
        <v>1711</v>
      </c>
      <c r="T165">
        <v>0</v>
      </c>
      <c r="W165">
        <v>0</v>
      </c>
    </row>
    <row r="166" spans="1:23" x14ac:dyDescent="0.2">
      <c r="A166" s="1">
        <v>164</v>
      </c>
      <c r="B166">
        <v>478</v>
      </c>
      <c r="C166" t="s">
        <v>191</v>
      </c>
      <c r="D166" t="s">
        <v>808</v>
      </c>
      <c r="E166" t="str">
        <f>"0743203046"</f>
        <v>0743203046</v>
      </c>
      <c r="F166" t="str">
        <f>"9780743203043"</f>
        <v>9780743203043</v>
      </c>
      <c r="G166">
        <v>0</v>
      </c>
      <c r="H166">
        <v>3.81</v>
      </c>
      <c r="I166" t="s">
        <v>1284</v>
      </c>
      <c r="J166" t="s">
        <v>1507</v>
      </c>
      <c r="K166">
        <v>544</v>
      </c>
      <c r="L166">
        <v>2001</v>
      </c>
      <c r="M166">
        <v>2000</v>
      </c>
      <c r="O166" t="s">
        <v>1603</v>
      </c>
      <c r="P166" t="s">
        <v>1711</v>
      </c>
      <c r="T166">
        <v>0</v>
      </c>
      <c r="W166">
        <v>0</v>
      </c>
    </row>
    <row r="167" spans="1:23" x14ac:dyDescent="0.2">
      <c r="A167" s="1">
        <v>165</v>
      </c>
      <c r="B167">
        <v>52357</v>
      </c>
      <c r="C167" t="s">
        <v>192</v>
      </c>
      <c r="D167" t="s">
        <v>809</v>
      </c>
      <c r="E167" t="str">
        <f>"0393320979"</f>
        <v>0393320979</v>
      </c>
      <c r="F167" t="str">
        <f>"9780393320978"</f>
        <v>9780393320978</v>
      </c>
      <c r="G167">
        <v>0</v>
      </c>
      <c r="H167">
        <v>3.46</v>
      </c>
      <c r="I167" t="s">
        <v>1285</v>
      </c>
      <c r="J167" t="s">
        <v>1507</v>
      </c>
      <c r="K167">
        <v>245</v>
      </c>
      <c r="L167">
        <v>2001</v>
      </c>
      <c r="M167">
        <v>900</v>
      </c>
      <c r="O167" t="s">
        <v>1604</v>
      </c>
      <c r="P167" t="s">
        <v>1713</v>
      </c>
      <c r="T167">
        <v>1</v>
      </c>
      <c r="W167">
        <v>0</v>
      </c>
    </row>
    <row r="168" spans="1:23" x14ac:dyDescent="0.2">
      <c r="A168" s="1">
        <v>166</v>
      </c>
      <c r="B168">
        <v>18619684</v>
      </c>
      <c r="C168" t="s">
        <v>193</v>
      </c>
      <c r="D168" t="s">
        <v>810</v>
      </c>
      <c r="E168" t="str">
        <f>""</f>
        <v/>
      </c>
      <c r="F168" t="str">
        <f>"9781939126016"</f>
        <v>9781939126016</v>
      </c>
      <c r="G168">
        <v>0</v>
      </c>
      <c r="H168">
        <v>3.98</v>
      </c>
      <c r="I168" t="s">
        <v>1286</v>
      </c>
      <c r="J168" t="s">
        <v>1508</v>
      </c>
      <c r="K168">
        <v>500</v>
      </c>
      <c r="L168">
        <v>2013</v>
      </c>
      <c r="M168">
        <v>2003</v>
      </c>
      <c r="O168" t="s">
        <v>1604</v>
      </c>
      <c r="P168" t="s">
        <v>1711</v>
      </c>
      <c r="T168">
        <v>0</v>
      </c>
      <c r="W168">
        <v>0</v>
      </c>
    </row>
    <row r="169" spans="1:23" x14ac:dyDescent="0.2">
      <c r="A169" s="1">
        <v>167</v>
      </c>
      <c r="B169">
        <v>5326</v>
      </c>
      <c r="C169" t="s">
        <v>194</v>
      </c>
      <c r="D169" t="s">
        <v>794</v>
      </c>
      <c r="E169" t="str">
        <f>"1561797464"</f>
        <v>1561797464</v>
      </c>
      <c r="F169" t="str">
        <f>"9781561797462"</f>
        <v>9781561797462</v>
      </c>
      <c r="G169">
        <v>0</v>
      </c>
      <c r="H169">
        <v>4.0599999999999996</v>
      </c>
      <c r="I169" t="s">
        <v>1287</v>
      </c>
      <c r="J169" t="s">
        <v>1507</v>
      </c>
      <c r="K169">
        <v>104</v>
      </c>
      <c r="L169">
        <v>1999</v>
      </c>
      <c r="M169">
        <v>1843</v>
      </c>
      <c r="O169" t="s">
        <v>1604</v>
      </c>
      <c r="P169" t="s">
        <v>1711</v>
      </c>
      <c r="T169">
        <v>0</v>
      </c>
      <c r="W169">
        <v>0</v>
      </c>
    </row>
    <row r="170" spans="1:23" x14ac:dyDescent="0.2">
      <c r="A170" s="1">
        <v>168</v>
      </c>
      <c r="B170">
        <v>5107</v>
      </c>
      <c r="C170" t="s">
        <v>195</v>
      </c>
      <c r="D170" t="s">
        <v>811</v>
      </c>
      <c r="E170" t="str">
        <f>"0316769177"</f>
        <v>0316769177</v>
      </c>
      <c r="F170" t="str">
        <f>"9780316769174"</f>
        <v>9780316769174</v>
      </c>
      <c r="G170">
        <v>0</v>
      </c>
      <c r="H170">
        <v>3.81</v>
      </c>
      <c r="I170" t="s">
        <v>1175</v>
      </c>
      <c r="J170" t="s">
        <v>1507</v>
      </c>
      <c r="K170">
        <v>277</v>
      </c>
      <c r="L170">
        <v>2001</v>
      </c>
      <c r="M170">
        <v>1951</v>
      </c>
      <c r="O170" t="s">
        <v>1604</v>
      </c>
      <c r="P170" t="s">
        <v>1711</v>
      </c>
      <c r="T170">
        <v>0</v>
      </c>
      <c r="W170">
        <v>0</v>
      </c>
    </row>
    <row r="171" spans="1:23" x14ac:dyDescent="0.2">
      <c r="A171" s="1">
        <v>169</v>
      </c>
      <c r="B171">
        <v>22628</v>
      </c>
      <c r="C171" t="s">
        <v>196</v>
      </c>
      <c r="D171" t="s">
        <v>812</v>
      </c>
      <c r="E171" t="str">
        <f>""</f>
        <v/>
      </c>
      <c r="F171" t="str">
        <f>""</f>
        <v/>
      </c>
      <c r="G171">
        <v>0</v>
      </c>
      <c r="H171">
        <v>4.2</v>
      </c>
      <c r="I171" t="s">
        <v>1288</v>
      </c>
      <c r="J171" t="s">
        <v>1507</v>
      </c>
      <c r="K171">
        <v>213</v>
      </c>
      <c r="L171">
        <v>1999</v>
      </c>
      <c r="M171">
        <v>1999</v>
      </c>
      <c r="O171" t="s">
        <v>1604</v>
      </c>
      <c r="P171" t="s">
        <v>1711</v>
      </c>
      <c r="T171">
        <v>0</v>
      </c>
      <c r="W171">
        <v>0</v>
      </c>
    </row>
    <row r="172" spans="1:23" x14ac:dyDescent="0.2">
      <c r="A172" s="1">
        <v>170</v>
      </c>
      <c r="B172">
        <v>6185</v>
      </c>
      <c r="C172" t="s">
        <v>197</v>
      </c>
      <c r="D172" t="s">
        <v>813</v>
      </c>
      <c r="E172" t="str">
        <f>"0393978893"</f>
        <v>0393978893</v>
      </c>
      <c r="F172" t="str">
        <f>"9780393978896"</f>
        <v>9780393978896</v>
      </c>
      <c r="G172">
        <v>0</v>
      </c>
      <c r="H172">
        <v>3.86</v>
      </c>
      <c r="I172" t="s">
        <v>1251</v>
      </c>
      <c r="J172" t="s">
        <v>1507</v>
      </c>
      <c r="K172">
        <v>464</v>
      </c>
      <c r="L172">
        <v>2002</v>
      </c>
      <c r="M172">
        <v>1847</v>
      </c>
      <c r="O172" t="s">
        <v>1604</v>
      </c>
      <c r="P172" t="s">
        <v>1711</v>
      </c>
      <c r="T172">
        <v>0</v>
      </c>
      <c r="W172">
        <v>0</v>
      </c>
    </row>
    <row r="173" spans="1:23" x14ac:dyDescent="0.2">
      <c r="A173" s="1">
        <v>171</v>
      </c>
      <c r="B173">
        <v>5297</v>
      </c>
      <c r="C173" t="s">
        <v>198</v>
      </c>
      <c r="D173" t="s">
        <v>814</v>
      </c>
      <c r="E173" t="str">
        <f>""</f>
        <v/>
      </c>
      <c r="F173" t="str">
        <f>""</f>
        <v/>
      </c>
      <c r="G173">
        <v>0</v>
      </c>
      <c r="H173">
        <v>4.08</v>
      </c>
      <c r="I173" t="s">
        <v>1289</v>
      </c>
      <c r="J173" t="s">
        <v>1507</v>
      </c>
      <c r="K173">
        <v>272</v>
      </c>
      <c r="L173">
        <v>2004</v>
      </c>
      <c r="M173">
        <v>1890</v>
      </c>
      <c r="O173" t="s">
        <v>1604</v>
      </c>
      <c r="P173" t="s">
        <v>1711</v>
      </c>
      <c r="T173">
        <v>0</v>
      </c>
      <c r="W173">
        <v>0</v>
      </c>
    </row>
    <row r="174" spans="1:23" x14ac:dyDescent="0.2">
      <c r="A174" s="1">
        <v>172</v>
      </c>
      <c r="B174">
        <v>10210</v>
      </c>
      <c r="C174" t="s">
        <v>199</v>
      </c>
      <c r="D174" t="s">
        <v>815</v>
      </c>
      <c r="E174" t="str">
        <f>"0142437204"</f>
        <v>0142437204</v>
      </c>
      <c r="F174" t="str">
        <f>"9780142437209"</f>
        <v>9780142437209</v>
      </c>
      <c r="G174">
        <v>0</v>
      </c>
      <c r="H174">
        <v>4.13</v>
      </c>
      <c r="I174" t="s">
        <v>1210</v>
      </c>
      <c r="J174" t="s">
        <v>1507</v>
      </c>
      <c r="K174">
        <v>532</v>
      </c>
      <c r="L174">
        <v>2003</v>
      </c>
      <c r="M174">
        <v>1847</v>
      </c>
      <c r="O174" t="s">
        <v>1604</v>
      </c>
      <c r="P174" t="s">
        <v>1711</v>
      </c>
      <c r="T174">
        <v>0</v>
      </c>
      <c r="W174">
        <v>0</v>
      </c>
    </row>
    <row r="175" spans="1:23" x14ac:dyDescent="0.2">
      <c r="A175" s="1">
        <v>173</v>
      </c>
      <c r="B175">
        <v>6514</v>
      </c>
      <c r="C175" t="s">
        <v>200</v>
      </c>
      <c r="D175" t="s">
        <v>816</v>
      </c>
      <c r="E175" t="str">
        <f>""</f>
        <v/>
      </c>
      <c r="F175" t="str">
        <f>""</f>
        <v/>
      </c>
      <c r="G175">
        <v>0</v>
      </c>
      <c r="H175">
        <v>4.01</v>
      </c>
      <c r="I175" t="s">
        <v>1290</v>
      </c>
      <c r="J175" t="s">
        <v>1507</v>
      </c>
      <c r="K175">
        <v>294</v>
      </c>
      <c r="L175">
        <v>2006</v>
      </c>
      <c r="M175">
        <v>1963</v>
      </c>
      <c r="O175" t="s">
        <v>1604</v>
      </c>
      <c r="P175" t="s">
        <v>1711</v>
      </c>
      <c r="T175">
        <v>0</v>
      </c>
      <c r="W175">
        <v>0</v>
      </c>
    </row>
    <row r="176" spans="1:23" x14ac:dyDescent="0.2">
      <c r="A176" s="1">
        <v>174</v>
      </c>
      <c r="B176">
        <v>4671</v>
      </c>
      <c r="C176" t="s">
        <v>201</v>
      </c>
      <c r="D176" t="s">
        <v>817</v>
      </c>
      <c r="E176" t="str">
        <f>""</f>
        <v/>
      </c>
      <c r="F176" t="str">
        <f>""</f>
        <v/>
      </c>
      <c r="G176">
        <v>0</v>
      </c>
      <c r="H176">
        <v>3.92</v>
      </c>
      <c r="I176" t="s">
        <v>1226</v>
      </c>
      <c r="J176" t="s">
        <v>1507</v>
      </c>
      <c r="K176">
        <v>200</v>
      </c>
      <c r="L176">
        <v>2004</v>
      </c>
      <c r="M176">
        <v>1925</v>
      </c>
      <c r="O176" t="s">
        <v>1604</v>
      </c>
      <c r="P176" t="s">
        <v>1711</v>
      </c>
      <c r="T176">
        <v>0</v>
      </c>
      <c r="W176">
        <v>0</v>
      </c>
    </row>
    <row r="177" spans="1:23" x14ac:dyDescent="0.2">
      <c r="A177" s="1">
        <v>175</v>
      </c>
      <c r="B177">
        <v>1885</v>
      </c>
      <c r="C177" t="s">
        <v>202</v>
      </c>
      <c r="D177" t="s">
        <v>818</v>
      </c>
      <c r="E177" t="str">
        <f>""</f>
        <v/>
      </c>
      <c r="F177" t="str">
        <f>""</f>
        <v/>
      </c>
      <c r="G177">
        <v>0</v>
      </c>
      <c r="H177">
        <v>4.26</v>
      </c>
      <c r="I177" t="s">
        <v>1267</v>
      </c>
      <c r="J177" t="s">
        <v>1507</v>
      </c>
      <c r="K177">
        <v>279</v>
      </c>
      <c r="L177">
        <v>2000</v>
      </c>
      <c r="M177">
        <v>1813</v>
      </c>
      <c r="O177" t="s">
        <v>1604</v>
      </c>
      <c r="P177" t="s">
        <v>1711</v>
      </c>
      <c r="T177">
        <v>0</v>
      </c>
      <c r="W177">
        <v>0</v>
      </c>
    </row>
    <row r="178" spans="1:23" x14ac:dyDescent="0.2">
      <c r="A178" s="1">
        <v>176</v>
      </c>
      <c r="B178">
        <v>4005310</v>
      </c>
      <c r="C178" t="s">
        <v>203</v>
      </c>
      <c r="D178" t="s">
        <v>819</v>
      </c>
      <c r="E178" t="str">
        <f>"0670020532"</f>
        <v>0670020532</v>
      </c>
      <c r="F178" t="str">
        <f>"9780670020539"</f>
        <v>9780670020539</v>
      </c>
      <c r="G178">
        <v>0</v>
      </c>
      <c r="H178">
        <v>4.17</v>
      </c>
      <c r="I178" t="s">
        <v>1291</v>
      </c>
      <c r="J178" t="s">
        <v>1509</v>
      </c>
      <c r="K178">
        <v>282</v>
      </c>
      <c r="L178">
        <v>2009</v>
      </c>
      <c r="M178">
        <v>2008</v>
      </c>
      <c r="O178" t="s">
        <v>1605</v>
      </c>
      <c r="P178" t="s">
        <v>1711</v>
      </c>
      <c r="T178">
        <v>0</v>
      </c>
      <c r="W178">
        <v>0</v>
      </c>
    </row>
    <row r="179" spans="1:23" x14ac:dyDescent="0.2">
      <c r="A179" s="1">
        <v>177</v>
      </c>
      <c r="B179">
        <v>17575112</v>
      </c>
      <c r="C179" t="s">
        <v>204</v>
      </c>
      <c r="D179" t="s">
        <v>757</v>
      </c>
      <c r="E179" t="str">
        <f>"0871404265"</f>
        <v>0871404265</v>
      </c>
      <c r="F179" t="str">
        <f>"9780871404268"</f>
        <v>9780871404268</v>
      </c>
      <c r="G179">
        <v>0</v>
      </c>
      <c r="H179">
        <v>4.04</v>
      </c>
      <c r="I179" t="s">
        <v>1292</v>
      </c>
      <c r="J179" t="s">
        <v>1509</v>
      </c>
      <c r="K179">
        <v>224</v>
      </c>
      <c r="L179">
        <v>2013</v>
      </c>
      <c r="M179">
        <v>1886</v>
      </c>
      <c r="O179" t="s">
        <v>1587</v>
      </c>
      <c r="P179" t="s">
        <v>1713</v>
      </c>
      <c r="T179">
        <v>1</v>
      </c>
      <c r="W179">
        <v>0</v>
      </c>
    </row>
    <row r="180" spans="1:23" x14ac:dyDescent="0.2">
      <c r="A180" s="1">
        <v>178</v>
      </c>
      <c r="B180">
        <v>1111</v>
      </c>
      <c r="C180" t="s">
        <v>205</v>
      </c>
      <c r="D180" t="s">
        <v>820</v>
      </c>
      <c r="E180" t="str">
        <f>"0394720245"</f>
        <v>0394720245</v>
      </c>
      <c r="F180" t="str">
        <f>"9780394720241"</f>
        <v>9780394720241</v>
      </c>
      <c r="G180">
        <v>0</v>
      </c>
      <c r="H180">
        <v>4.4000000000000004</v>
      </c>
      <c r="I180" t="s">
        <v>1253</v>
      </c>
      <c r="J180" t="s">
        <v>1507</v>
      </c>
      <c r="K180">
        <v>1246</v>
      </c>
      <c r="L180">
        <v>1975</v>
      </c>
      <c r="M180">
        <v>1974</v>
      </c>
      <c r="O180" t="s">
        <v>1606</v>
      </c>
      <c r="P180" t="s">
        <v>1711</v>
      </c>
      <c r="T180">
        <v>0</v>
      </c>
      <c r="W180">
        <v>0</v>
      </c>
    </row>
    <row r="181" spans="1:23" x14ac:dyDescent="0.2">
      <c r="A181" s="1">
        <v>179</v>
      </c>
      <c r="B181">
        <v>27213329</v>
      </c>
      <c r="C181" t="s">
        <v>206</v>
      </c>
      <c r="D181" t="s">
        <v>821</v>
      </c>
      <c r="E181" t="str">
        <f>"1443442313"</f>
        <v>1443442313</v>
      </c>
      <c r="F181" t="str">
        <f>"9781443442312"</f>
        <v>9781443442312</v>
      </c>
      <c r="G181">
        <v>0</v>
      </c>
      <c r="H181">
        <v>4.09</v>
      </c>
      <c r="I181" t="s">
        <v>1293</v>
      </c>
      <c r="J181" t="s">
        <v>1509</v>
      </c>
      <c r="K181">
        <v>277</v>
      </c>
      <c r="L181">
        <v>2016</v>
      </c>
      <c r="M181">
        <v>2016</v>
      </c>
      <c r="O181" t="s">
        <v>1607</v>
      </c>
      <c r="P181" t="s">
        <v>1711</v>
      </c>
      <c r="T181">
        <v>0</v>
      </c>
      <c r="W181">
        <v>0</v>
      </c>
    </row>
    <row r="182" spans="1:23" x14ac:dyDescent="0.2">
      <c r="A182" s="1">
        <v>180</v>
      </c>
      <c r="B182">
        <v>13594266</v>
      </c>
      <c r="C182" t="s">
        <v>207</v>
      </c>
      <c r="D182" t="s">
        <v>822</v>
      </c>
      <c r="E182" t="str">
        <f>"1936608588"</f>
        <v>1936608588</v>
      </c>
      <c r="F182" t="str">
        <f>"9781936608584"</f>
        <v>9781936608584</v>
      </c>
      <c r="G182">
        <v>0</v>
      </c>
      <c r="H182">
        <v>4.4000000000000004</v>
      </c>
      <c r="I182" t="s">
        <v>1294</v>
      </c>
      <c r="J182" t="s">
        <v>1509</v>
      </c>
      <c r="K182">
        <v>400</v>
      </c>
      <c r="L182">
        <v>2013</v>
      </c>
      <c r="M182">
        <v>2013</v>
      </c>
      <c r="O182" t="s">
        <v>1608</v>
      </c>
      <c r="P182" t="s">
        <v>1712</v>
      </c>
      <c r="T182">
        <v>1</v>
      </c>
      <c r="W182">
        <v>0</v>
      </c>
    </row>
    <row r="183" spans="1:23" x14ac:dyDescent="0.2">
      <c r="A183" s="1">
        <v>181</v>
      </c>
      <c r="B183">
        <v>223556</v>
      </c>
      <c r="C183" t="s">
        <v>208</v>
      </c>
      <c r="D183" t="s">
        <v>823</v>
      </c>
      <c r="E183" t="str">
        <f>"0684824299"</f>
        <v>0684824299</v>
      </c>
      <c r="F183" t="str">
        <f>"9780684824291"</f>
        <v>9780684824291</v>
      </c>
      <c r="G183">
        <v>0</v>
      </c>
      <c r="H183">
        <v>3.55</v>
      </c>
      <c r="I183" t="s">
        <v>1162</v>
      </c>
      <c r="J183" t="s">
        <v>1507</v>
      </c>
      <c r="K183">
        <v>912</v>
      </c>
      <c r="L183">
        <v>1996</v>
      </c>
      <c r="M183">
        <v>1994</v>
      </c>
      <c r="O183" t="s">
        <v>1609</v>
      </c>
      <c r="P183" t="s">
        <v>1712</v>
      </c>
      <c r="T183">
        <v>1</v>
      </c>
      <c r="W183">
        <v>0</v>
      </c>
    </row>
    <row r="184" spans="1:23" x14ac:dyDescent="0.2">
      <c r="A184" s="1">
        <v>182</v>
      </c>
      <c r="B184">
        <v>56465</v>
      </c>
      <c r="C184" t="s">
        <v>209</v>
      </c>
      <c r="D184" t="s">
        <v>824</v>
      </c>
      <c r="E184" t="str">
        <f>"0747538352"</f>
        <v>0747538352</v>
      </c>
      <c r="F184" t="str">
        <f>"9780747538356"</f>
        <v>9780747538356</v>
      </c>
      <c r="G184">
        <v>3</v>
      </c>
      <c r="H184">
        <v>4.18</v>
      </c>
      <c r="I184" t="s">
        <v>1295</v>
      </c>
      <c r="J184" t="s">
        <v>1507</v>
      </c>
      <c r="K184">
        <v>352</v>
      </c>
      <c r="L184">
        <v>2000</v>
      </c>
      <c r="M184">
        <v>1996</v>
      </c>
      <c r="N184" t="s">
        <v>1520</v>
      </c>
      <c r="O184" t="s">
        <v>1610</v>
      </c>
      <c r="P184" t="s">
        <v>1713</v>
      </c>
      <c r="Q184" t="s">
        <v>1715</v>
      </c>
      <c r="T184">
        <v>1</v>
      </c>
      <c r="W184">
        <v>0</v>
      </c>
    </row>
    <row r="185" spans="1:23" x14ac:dyDescent="0.2">
      <c r="A185" s="1">
        <v>183</v>
      </c>
      <c r="B185">
        <v>20421960</v>
      </c>
      <c r="C185" t="s">
        <v>210</v>
      </c>
      <c r="D185" t="s">
        <v>825</v>
      </c>
      <c r="E185" t="str">
        <f>"1598038621"</f>
        <v>1598038621</v>
      </c>
      <c r="F185" t="str">
        <f>"9781598038620"</f>
        <v>9781598038620</v>
      </c>
      <c r="G185">
        <v>0</v>
      </c>
      <c r="H185">
        <v>4.26</v>
      </c>
      <c r="I185" t="s">
        <v>1296</v>
      </c>
      <c r="J185" t="s">
        <v>1512</v>
      </c>
      <c r="L185">
        <v>2010</v>
      </c>
      <c r="M185">
        <v>2010</v>
      </c>
      <c r="O185" t="s">
        <v>1520</v>
      </c>
      <c r="P185" t="s">
        <v>1711</v>
      </c>
      <c r="T185">
        <v>0</v>
      </c>
      <c r="W185">
        <v>0</v>
      </c>
    </row>
    <row r="186" spans="1:23" x14ac:dyDescent="0.2">
      <c r="A186" s="1">
        <v>184</v>
      </c>
      <c r="B186">
        <v>41449033</v>
      </c>
      <c r="C186" t="s">
        <v>211</v>
      </c>
      <c r="D186" t="s">
        <v>826</v>
      </c>
      <c r="E186" t="str">
        <f>"1788547780"</f>
        <v>1788547780</v>
      </c>
      <c r="F186" t="str">
        <f>"9781788547789"</f>
        <v>9781788547789</v>
      </c>
      <c r="G186">
        <v>0</v>
      </c>
      <c r="H186">
        <v>4.76</v>
      </c>
      <c r="I186" t="s">
        <v>1297</v>
      </c>
      <c r="J186" t="s">
        <v>1509</v>
      </c>
      <c r="K186">
        <v>448</v>
      </c>
      <c r="L186">
        <v>2019</v>
      </c>
      <c r="M186">
        <v>2019</v>
      </c>
      <c r="O186" t="s">
        <v>1520</v>
      </c>
      <c r="P186" t="s">
        <v>1711</v>
      </c>
      <c r="T186">
        <v>0</v>
      </c>
      <c r="W186">
        <v>0</v>
      </c>
    </row>
    <row r="187" spans="1:23" x14ac:dyDescent="0.2">
      <c r="A187" s="1">
        <v>185</v>
      </c>
      <c r="B187">
        <v>458215</v>
      </c>
      <c r="C187" t="s">
        <v>212</v>
      </c>
      <c r="D187" t="s">
        <v>827</v>
      </c>
      <c r="E187" t="str">
        <f>"0960356665"</f>
        <v>0960356665</v>
      </c>
      <c r="F187" t="str">
        <f>"9780960356669"</f>
        <v>9780960356669</v>
      </c>
      <c r="G187">
        <v>0</v>
      </c>
      <c r="H187">
        <v>4.2</v>
      </c>
      <c r="I187" t="s">
        <v>1298</v>
      </c>
      <c r="J187" t="s">
        <v>1507</v>
      </c>
      <c r="K187">
        <v>160</v>
      </c>
      <c r="L187">
        <v>1983</v>
      </c>
      <c r="M187">
        <v>1983</v>
      </c>
      <c r="O187" t="s">
        <v>1611</v>
      </c>
      <c r="P187" t="s">
        <v>1711</v>
      </c>
      <c r="T187">
        <v>0</v>
      </c>
      <c r="W187">
        <v>0</v>
      </c>
    </row>
    <row r="188" spans="1:23" x14ac:dyDescent="0.2">
      <c r="A188" s="1">
        <v>186</v>
      </c>
      <c r="B188">
        <v>17695191</v>
      </c>
      <c r="C188" t="s">
        <v>213</v>
      </c>
      <c r="D188" t="s">
        <v>828</v>
      </c>
      <c r="E188" t="str">
        <f>""</f>
        <v/>
      </c>
      <c r="F188" t="str">
        <f>""</f>
        <v/>
      </c>
      <c r="G188">
        <v>0</v>
      </c>
      <c r="H188">
        <v>3.93</v>
      </c>
      <c r="I188" t="s">
        <v>1299</v>
      </c>
      <c r="J188" t="s">
        <v>1507</v>
      </c>
      <c r="K188">
        <v>160</v>
      </c>
      <c r="L188">
        <v>1969</v>
      </c>
      <c r="M188">
        <v>1969</v>
      </c>
      <c r="O188" t="s">
        <v>1611</v>
      </c>
      <c r="P188" t="s">
        <v>1711</v>
      </c>
      <c r="T188">
        <v>0</v>
      </c>
      <c r="W188">
        <v>0</v>
      </c>
    </row>
    <row r="189" spans="1:23" x14ac:dyDescent="0.2">
      <c r="A189" s="1">
        <v>187</v>
      </c>
      <c r="B189">
        <v>50489392</v>
      </c>
      <c r="C189" t="s">
        <v>214</v>
      </c>
      <c r="D189" t="s">
        <v>829</v>
      </c>
      <c r="E189" t="str">
        <f>"1682686094"</f>
        <v>1682686094</v>
      </c>
      <c r="F189" t="str">
        <f>"9781682686096"</f>
        <v>9781682686096</v>
      </c>
      <c r="G189">
        <v>0</v>
      </c>
      <c r="H189">
        <v>4.33</v>
      </c>
      <c r="I189" t="s">
        <v>1300</v>
      </c>
      <c r="J189" t="s">
        <v>1509</v>
      </c>
      <c r="K189">
        <v>224</v>
      </c>
      <c r="L189">
        <v>2020</v>
      </c>
      <c r="O189" t="s">
        <v>1611</v>
      </c>
      <c r="P189" t="s">
        <v>1711</v>
      </c>
      <c r="T189">
        <v>0</v>
      </c>
      <c r="W189">
        <v>0</v>
      </c>
    </row>
    <row r="190" spans="1:23" x14ac:dyDescent="0.2">
      <c r="A190" s="1">
        <v>188</v>
      </c>
      <c r="B190">
        <v>629</v>
      </c>
      <c r="C190" t="s">
        <v>215</v>
      </c>
      <c r="D190" t="s">
        <v>830</v>
      </c>
      <c r="E190" t="str">
        <f>"0060589469"</f>
        <v>0060589469</v>
      </c>
      <c r="F190" t="str">
        <f>"9780060589462"</f>
        <v>9780060589462</v>
      </c>
      <c r="G190">
        <v>0</v>
      </c>
      <c r="H190">
        <v>3.77</v>
      </c>
      <c r="I190" t="s">
        <v>1301</v>
      </c>
      <c r="J190" t="s">
        <v>1510</v>
      </c>
      <c r="K190">
        <v>540</v>
      </c>
      <c r="L190">
        <v>2006</v>
      </c>
      <c r="M190">
        <v>1974</v>
      </c>
      <c r="O190" t="s">
        <v>1612</v>
      </c>
      <c r="P190" t="s">
        <v>1711</v>
      </c>
      <c r="T190">
        <v>0</v>
      </c>
      <c r="W190">
        <v>0</v>
      </c>
    </row>
    <row r="191" spans="1:23" x14ac:dyDescent="0.2">
      <c r="A191" s="1">
        <v>189</v>
      </c>
      <c r="B191">
        <v>15803037</v>
      </c>
      <c r="C191" t="s">
        <v>216</v>
      </c>
      <c r="D191" t="s">
        <v>831</v>
      </c>
      <c r="E191" t="str">
        <f>"1476706123"</f>
        <v>1476706123</v>
      </c>
      <c r="F191" t="str">
        <f>"9781476706122"</f>
        <v>9781476706122</v>
      </c>
      <c r="G191">
        <v>0</v>
      </c>
      <c r="H191">
        <v>3.95</v>
      </c>
      <c r="I191" t="s">
        <v>1226</v>
      </c>
      <c r="J191" t="s">
        <v>1509</v>
      </c>
      <c r="K191">
        <v>434</v>
      </c>
      <c r="L191">
        <v>2013</v>
      </c>
      <c r="M191">
        <v>2013</v>
      </c>
      <c r="O191" t="s">
        <v>1613</v>
      </c>
      <c r="P191" t="s">
        <v>1711</v>
      </c>
      <c r="T191">
        <v>0</v>
      </c>
      <c r="W191">
        <v>0</v>
      </c>
    </row>
    <row r="192" spans="1:23" x14ac:dyDescent="0.2">
      <c r="A192" s="1">
        <v>190</v>
      </c>
      <c r="B192">
        <v>46674</v>
      </c>
      <c r="C192" t="s">
        <v>217</v>
      </c>
      <c r="D192" t="s">
        <v>832</v>
      </c>
      <c r="E192" t="str">
        <f>"0380810336"</f>
        <v>0380810336</v>
      </c>
      <c r="F192" t="str">
        <f>"9780380810338"</f>
        <v>9780380810338</v>
      </c>
      <c r="G192">
        <v>0</v>
      </c>
      <c r="H192">
        <v>4.03</v>
      </c>
      <c r="I192" t="s">
        <v>1302</v>
      </c>
      <c r="J192" t="s">
        <v>1510</v>
      </c>
      <c r="K192">
        <v>736</v>
      </c>
      <c r="L192">
        <v>2008</v>
      </c>
      <c r="M192">
        <v>1980</v>
      </c>
      <c r="O192" t="s">
        <v>1614</v>
      </c>
      <c r="P192" t="s">
        <v>1711</v>
      </c>
      <c r="T192">
        <v>0</v>
      </c>
      <c r="W192">
        <v>0</v>
      </c>
    </row>
    <row r="193" spans="1:23" x14ac:dyDescent="0.2">
      <c r="A193" s="1">
        <v>191</v>
      </c>
      <c r="B193">
        <v>22609478</v>
      </c>
      <c r="C193" t="s">
        <v>218</v>
      </c>
      <c r="D193" t="s">
        <v>833</v>
      </c>
      <c r="E193" t="str">
        <f>"1476712077"</f>
        <v>1476712077</v>
      </c>
      <c r="F193" t="str">
        <f>"9781476712079"</f>
        <v>9781476712079</v>
      </c>
      <c r="G193">
        <v>0</v>
      </c>
      <c r="H193">
        <v>3.63</v>
      </c>
      <c r="I193" t="s">
        <v>1284</v>
      </c>
      <c r="J193" t="s">
        <v>1509</v>
      </c>
      <c r="K193">
        <v>464</v>
      </c>
      <c r="L193">
        <v>2015</v>
      </c>
      <c r="M193">
        <v>2015</v>
      </c>
      <c r="O193" t="s">
        <v>1614</v>
      </c>
      <c r="P193" t="s">
        <v>1711</v>
      </c>
      <c r="T193">
        <v>0</v>
      </c>
      <c r="W193">
        <v>0</v>
      </c>
    </row>
    <row r="194" spans="1:23" x14ac:dyDescent="0.2">
      <c r="A194" s="1">
        <v>192</v>
      </c>
      <c r="B194">
        <v>12321</v>
      </c>
      <c r="C194" t="s">
        <v>219</v>
      </c>
      <c r="D194" t="s">
        <v>834</v>
      </c>
      <c r="E194" t="str">
        <f>"014044923X"</f>
        <v>014044923X</v>
      </c>
      <c r="F194" t="str">
        <f>"9780140449235"</f>
        <v>9780140449235</v>
      </c>
      <c r="G194">
        <v>0</v>
      </c>
      <c r="H194">
        <v>3.99</v>
      </c>
      <c r="I194" t="s">
        <v>1213</v>
      </c>
      <c r="J194" t="s">
        <v>1507</v>
      </c>
      <c r="K194">
        <v>240</v>
      </c>
      <c r="L194">
        <v>2003</v>
      </c>
      <c r="M194">
        <v>1886</v>
      </c>
      <c r="O194" t="s">
        <v>1615</v>
      </c>
      <c r="P194" t="s">
        <v>1711</v>
      </c>
      <c r="T194">
        <v>0</v>
      </c>
      <c r="W194">
        <v>0</v>
      </c>
    </row>
    <row r="195" spans="1:23" x14ac:dyDescent="0.2">
      <c r="A195" s="1">
        <v>193</v>
      </c>
      <c r="B195">
        <v>8920565</v>
      </c>
      <c r="C195" t="s">
        <v>220</v>
      </c>
      <c r="D195" t="s">
        <v>835</v>
      </c>
      <c r="E195" t="str">
        <f>"1416567445"</f>
        <v>1416567445</v>
      </c>
      <c r="F195" t="str">
        <f>"9781416567448"</f>
        <v>9781416567448</v>
      </c>
      <c r="G195">
        <v>0</v>
      </c>
      <c r="H195">
        <v>3.71</v>
      </c>
      <c r="I195" t="s">
        <v>1245</v>
      </c>
      <c r="J195" t="s">
        <v>1509</v>
      </c>
      <c r="K195">
        <v>480</v>
      </c>
      <c r="L195">
        <v>2011</v>
      </c>
      <c r="M195">
        <v>2011</v>
      </c>
      <c r="O195" t="s">
        <v>1616</v>
      </c>
      <c r="P195" t="s">
        <v>1711</v>
      </c>
      <c r="T195">
        <v>0</v>
      </c>
      <c r="W195">
        <v>0</v>
      </c>
    </row>
    <row r="196" spans="1:23" x14ac:dyDescent="0.2">
      <c r="A196" s="1">
        <v>194</v>
      </c>
      <c r="B196">
        <v>16192</v>
      </c>
      <c r="C196" t="s">
        <v>221</v>
      </c>
      <c r="D196" t="s">
        <v>836</v>
      </c>
      <c r="E196" t="str">
        <f>"0807071277"</f>
        <v>0807071277</v>
      </c>
      <c r="F196" t="str">
        <f>"9780807071274"</f>
        <v>9780807071274</v>
      </c>
      <c r="G196">
        <v>0</v>
      </c>
      <c r="H196">
        <v>4.3099999999999996</v>
      </c>
      <c r="I196" t="s">
        <v>1205</v>
      </c>
      <c r="J196" t="s">
        <v>1507</v>
      </c>
      <c r="K196">
        <v>214</v>
      </c>
      <c r="L196">
        <v>2002</v>
      </c>
      <c r="M196">
        <v>1994</v>
      </c>
      <c r="O196" t="s">
        <v>1616</v>
      </c>
      <c r="P196" t="s">
        <v>1711</v>
      </c>
      <c r="T196">
        <v>0</v>
      </c>
      <c r="W196">
        <v>0</v>
      </c>
    </row>
    <row r="197" spans="1:23" x14ac:dyDescent="0.2">
      <c r="A197" s="1">
        <v>195</v>
      </c>
      <c r="B197">
        <v>790171</v>
      </c>
      <c r="C197" t="s">
        <v>222</v>
      </c>
      <c r="D197" t="s">
        <v>837</v>
      </c>
      <c r="E197" t="str">
        <f>"0671726528"</f>
        <v>0671726528</v>
      </c>
      <c r="F197" t="str">
        <f>"9780671726522"</f>
        <v>9780671726522</v>
      </c>
      <c r="G197">
        <v>0</v>
      </c>
      <c r="H197">
        <v>4.13</v>
      </c>
      <c r="I197" t="s">
        <v>1303</v>
      </c>
      <c r="J197" t="s">
        <v>1507</v>
      </c>
      <c r="K197">
        <v>240</v>
      </c>
      <c r="L197">
        <v>1990</v>
      </c>
      <c r="M197">
        <v>1948</v>
      </c>
      <c r="O197" t="s">
        <v>1616</v>
      </c>
      <c r="P197" t="s">
        <v>1711</v>
      </c>
      <c r="T197">
        <v>0</v>
      </c>
      <c r="W197">
        <v>0</v>
      </c>
    </row>
    <row r="198" spans="1:23" x14ac:dyDescent="0.2">
      <c r="A198" s="1">
        <v>196</v>
      </c>
      <c r="B198">
        <v>21926865</v>
      </c>
      <c r="C198" t="s">
        <v>223</v>
      </c>
      <c r="D198" t="s">
        <v>838</v>
      </c>
      <c r="E198" t="str">
        <f>"1455583669"</f>
        <v>1455583669</v>
      </c>
      <c r="F198" t="str">
        <f>"9781455583669"</f>
        <v>9781455583669</v>
      </c>
      <c r="G198">
        <v>0</v>
      </c>
      <c r="H198">
        <v>4.3499999999999996</v>
      </c>
      <c r="I198" t="s">
        <v>1304</v>
      </c>
      <c r="J198" t="s">
        <v>1509</v>
      </c>
      <c r="K198">
        <v>384</v>
      </c>
      <c r="L198">
        <v>2014</v>
      </c>
      <c r="M198">
        <v>2014</v>
      </c>
      <c r="O198" t="s">
        <v>1616</v>
      </c>
      <c r="P198" t="s">
        <v>1711</v>
      </c>
      <c r="T198">
        <v>0</v>
      </c>
      <c r="W198">
        <v>0</v>
      </c>
    </row>
    <row r="199" spans="1:23" x14ac:dyDescent="0.2">
      <c r="A199" s="1">
        <v>197</v>
      </c>
      <c r="B199">
        <v>52199285</v>
      </c>
      <c r="C199" t="s">
        <v>224</v>
      </c>
      <c r="D199" t="s">
        <v>839</v>
      </c>
      <c r="E199" t="str">
        <f>"1847925669"</f>
        <v>1847925669</v>
      </c>
      <c r="F199" t="str">
        <f>"9781847925664"</f>
        <v>9781847925664</v>
      </c>
      <c r="G199">
        <v>0</v>
      </c>
      <c r="H199">
        <v>4.45</v>
      </c>
      <c r="I199" t="s">
        <v>1305</v>
      </c>
      <c r="J199" t="s">
        <v>1507</v>
      </c>
      <c r="K199">
        <v>368</v>
      </c>
      <c r="L199">
        <v>2020</v>
      </c>
      <c r="M199">
        <v>2020</v>
      </c>
      <c r="O199" t="s">
        <v>1616</v>
      </c>
      <c r="P199" t="s">
        <v>1711</v>
      </c>
      <c r="T199">
        <v>0</v>
      </c>
      <c r="W199">
        <v>0</v>
      </c>
    </row>
    <row r="200" spans="1:23" x14ac:dyDescent="0.2">
      <c r="A200" s="1">
        <v>198</v>
      </c>
      <c r="B200">
        <v>358846</v>
      </c>
      <c r="C200" t="s">
        <v>225</v>
      </c>
      <c r="D200" t="s">
        <v>840</v>
      </c>
      <c r="E200" t="str">
        <f>"0810112973"</f>
        <v>0810112973</v>
      </c>
      <c r="F200" t="str">
        <f>"9780810112971"</f>
        <v>9780810112971</v>
      </c>
      <c r="G200">
        <v>0</v>
      </c>
      <c r="H200">
        <v>4.54</v>
      </c>
      <c r="I200" t="s">
        <v>1306</v>
      </c>
      <c r="J200" t="s">
        <v>1507</v>
      </c>
      <c r="K200">
        <v>473</v>
      </c>
      <c r="L200">
        <v>1996</v>
      </c>
      <c r="M200">
        <v>1966</v>
      </c>
      <c r="O200" t="s">
        <v>1617</v>
      </c>
      <c r="P200" t="s">
        <v>1711</v>
      </c>
      <c r="T200">
        <v>0</v>
      </c>
      <c r="W200">
        <v>0</v>
      </c>
    </row>
    <row r="201" spans="1:23" x14ac:dyDescent="0.2">
      <c r="A201" s="1">
        <v>199</v>
      </c>
      <c r="B201">
        <v>38651604</v>
      </c>
      <c r="C201" t="s">
        <v>226</v>
      </c>
      <c r="D201" t="s">
        <v>841</v>
      </c>
      <c r="E201" t="str">
        <f>"1108425046"</f>
        <v>1108425046</v>
      </c>
      <c r="F201" t="str">
        <f>"9781108425049"</f>
        <v>9781108425049</v>
      </c>
      <c r="G201">
        <v>0</v>
      </c>
      <c r="H201">
        <v>4.24</v>
      </c>
      <c r="I201" t="s">
        <v>1307</v>
      </c>
      <c r="J201" t="s">
        <v>1509</v>
      </c>
      <c r="K201">
        <v>378</v>
      </c>
      <c r="L201">
        <v>2018</v>
      </c>
      <c r="O201" t="s">
        <v>1618</v>
      </c>
      <c r="P201" t="s">
        <v>1711</v>
      </c>
      <c r="T201">
        <v>0</v>
      </c>
      <c r="W201">
        <v>0</v>
      </c>
    </row>
    <row r="202" spans="1:23" x14ac:dyDescent="0.2">
      <c r="A202" s="1">
        <v>200</v>
      </c>
      <c r="B202">
        <v>22146898</v>
      </c>
      <c r="C202" t="s">
        <v>227</v>
      </c>
      <c r="D202" t="s">
        <v>842</v>
      </c>
      <c r="E202" t="str">
        <f>""</f>
        <v/>
      </c>
      <c r="F202" t="str">
        <f>""</f>
        <v/>
      </c>
      <c r="G202">
        <v>0</v>
      </c>
      <c r="H202">
        <v>1.5</v>
      </c>
      <c r="J202" t="s">
        <v>1511</v>
      </c>
      <c r="K202">
        <v>83</v>
      </c>
      <c r="L202">
        <v>2011</v>
      </c>
      <c r="M202">
        <v>2011</v>
      </c>
      <c r="O202" t="s">
        <v>1619</v>
      </c>
      <c r="P202" t="s">
        <v>1711</v>
      </c>
      <c r="T202">
        <v>0</v>
      </c>
      <c r="W202">
        <v>0</v>
      </c>
    </row>
    <row r="203" spans="1:23" x14ac:dyDescent="0.2">
      <c r="A203" s="1">
        <v>201</v>
      </c>
      <c r="B203">
        <v>53453640</v>
      </c>
      <c r="C203" t="s">
        <v>228</v>
      </c>
      <c r="D203" t="s">
        <v>843</v>
      </c>
      <c r="E203" t="str">
        <f>""</f>
        <v/>
      </c>
      <c r="F203" t="str">
        <f>""</f>
        <v/>
      </c>
      <c r="G203">
        <v>0</v>
      </c>
      <c r="H203">
        <v>4.7</v>
      </c>
      <c r="I203" t="s">
        <v>1308</v>
      </c>
      <c r="J203" t="s">
        <v>1511</v>
      </c>
      <c r="K203">
        <v>89</v>
      </c>
      <c r="L203">
        <v>2020</v>
      </c>
      <c r="O203" t="s">
        <v>1619</v>
      </c>
      <c r="P203" t="s">
        <v>1711</v>
      </c>
      <c r="T203">
        <v>0</v>
      </c>
      <c r="W203">
        <v>0</v>
      </c>
    </row>
    <row r="204" spans="1:23" x14ac:dyDescent="0.2">
      <c r="A204" s="1">
        <v>202</v>
      </c>
      <c r="B204">
        <v>750962</v>
      </c>
      <c r="C204" t="s">
        <v>229</v>
      </c>
      <c r="D204" t="s">
        <v>844</v>
      </c>
      <c r="E204" t="str">
        <f>"0898629195"</f>
        <v>0898629195</v>
      </c>
      <c r="F204" t="str">
        <f>"9780898629194"</f>
        <v>9780898629194</v>
      </c>
      <c r="G204">
        <v>0</v>
      </c>
      <c r="H204">
        <v>4.1500000000000004</v>
      </c>
      <c r="I204" t="s">
        <v>1309</v>
      </c>
      <c r="J204" t="s">
        <v>1507</v>
      </c>
      <c r="K204">
        <v>425</v>
      </c>
      <c r="L204">
        <v>1987</v>
      </c>
      <c r="M204">
        <v>1979</v>
      </c>
      <c r="O204" t="s">
        <v>1620</v>
      </c>
      <c r="P204" t="s">
        <v>1711</v>
      </c>
      <c r="T204">
        <v>0</v>
      </c>
      <c r="W204">
        <v>0</v>
      </c>
    </row>
    <row r="205" spans="1:23" x14ac:dyDescent="0.2">
      <c r="A205" s="1">
        <v>203</v>
      </c>
      <c r="B205">
        <v>275204</v>
      </c>
      <c r="C205" t="s">
        <v>230</v>
      </c>
      <c r="D205" t="s">
        <v>845</v>
      </c>
      <c r="E205" t="str">
        <f>"0898628474"</f>
        <v>0898628474</v>
      </c>
      <c r="F205" t="str">
        <f>"9780898628470"</f>
        <v>9780898628470</v>
      </c>
      <c r="G205">
        <v>0</v>
      </c>
      <c r="H205">
        <v>4.18</v>
      </c>
      <c r="I205" t="s">
        <v>1309</v>
      </c>
      <c r="J205" t="s">
        <v>1509</v>
      </c>
      <c r="K205">
        <v>338</v>
      </c>
      <c r="L205">
        <v>1995</v>
      </c>
      <c r="M205">
        <v>1995</v>
      </c>
      <c r="O205" t="s">
        <v>1620</v>
      </c>
      <c r="P205" t="s">
        <v>1711</v>
      </c>
      <c r="T205">
        <v>0</v>
      </c>
      <c r="W205">
        <v>0</v>
      </c>
    </row>
    <row r="206" spans="1:23" x14ac:dyDescent="0.2">
      <c r="A206" s="1">
        <v>204</v>
      </c>
      <c r="B206">
        <v>1240562</v>
      </c>
      <c r="C206" t="s">
        <v>231</v>
      </c>
      <c r="D206" t="s">
        <v>846</v>
      </c>
      <c r="E206" t="str">
        <f>"0471575186"</f>
        <v>0471575186</v>
      </c>
      <c r="F206" t="str">
        <f>"9780471575184"</f>
        <v>9780471575184</v>
      </c>
      <c r="G206">
        <v>0</v>
      </c>
      <c r="H206">
        <v>4.17</v>
      </c>
      <c r="I206" t="s">
        <v>1310</v>
      </c>
      <c r="J206" t="s">
        <v>1507</v>
      </c>
      <c r="K206">
        <v>576</v>
      </c>
      <c r="L206">
        <v>1992</v>
      </c>
      <c r="M206">
        <v>1992</v>
      </c>
      <c r="O206" t="s">
        <v>1620</v>
      </c>
      <c r="P206" t="s">
        <v>1711</v>
      </c>
      <c r="T206">
        <v>0</v>
      </c>
      <c r="W206">
        <v>0</v>
      </c>
    </row>
    <row r="207" spans="1:23" x14ac:dyDescent="0.2">
      <c r="A207" s="1">
        <v>205</v>
      </c>
      <c r="B207">
        <v>279812</v>
      </c>
      <c r="C207" t="s">
        <v>232</v>
      </c>
      <c r="D207" t="s">
        <v>847</v>
      </c>
      <c r="E207" t="str">
        <f>"0195060806"</f>
        <v>0195060806</v>
      </c>
      <c r="F207" t="str">
        <f>"9780195060805"</f>
        <v>9780195060805</v>
      </c>
      <c r="G207">
        <v>0</v>
      </c>
      <c r="H207">
        <v>3.98</v>
      </c>
      <c r="I207" t="s">
        <v>1186</v>
      </c>
      <c r="J207" t="s">
        <v>1507</v>
      </c>
      <c r="K207">
        <v>249</v>
      </c>
      <c r="L207">
        <v>1989</v>
      </c>
      <c r="M207">
        <v>1988</v>
      </c>
      <c r="O207" t="s">
        <v>1521</v>
      </c>
      <c r="P207" t="s">
        <v>1711</v>
      </c>
      <c r="T207">
        <v>0</v>
      </c>
      <c r="W207">
        <v>0</v>
      </c>
    </row>
    <row r="208" spans="1:23" x14ac:dyDescent="0.2">
      <c r="A208" s="1">
        <v>206</v>
      </c>
      <c r="B208">
        <v>100247</v>
      </c>
      <c r="C208" t="s">
        <v>233</v>
      </c>
      <c r="D208" t="s">
        <v>848</v>
      </c>
      <c r="E208" t="str">
        <f>"0812992180"</f>
        <v>0812992180</v>
      </c>
      <c r="F208" t="str">
        <f>"9780812992182"</f>
        <v>9780812992182</v>
      </c>
      <c r="G208">
        <v>3</v>
      </c>
      <c r="H208">
        <v>3.94</v>
      </c>
      <c r="I208" t="s">
        <v>1311</v>
      </c>
      <c r="J208" t="s">
        <v>1507</v>
      </c>
      <c r="K208">
        <v>205</v>
      </c>
      <c r="L208">
        <v>2002</v>
      </c>
      <c r="M208">
        <v>2002</v>
      </c>
      <c r="N208" t="s">
        <v>1521</v>
      </c>
      <c r="O208" t="s">
        <v>1595</v>
      </c>
      <c r="P208" t="s">
        <v>1713</v>
      </c>
      <c r="Q208" t="s">
        <v>1716</v>
      </c>
      <c r="T208">
        <v>1</v>
      </c>
      <c r="W208">
        <v>0</v>
      </c>
    </row>
    <row r="209" spans="1:23" x14ac:dyDescent="0.2">
      <c r="A209" s="1">
        <v>207</v>
      </c>
      <c r="B209">
        <v>33607457</v>
      </c>
      <c r="C209" t="s">
        <v>234</v>
      </c>
      <c r="D209" t="s">
        <v>849</v>
      </c>
      <c r="E209" t="str">
        <f>"1941129420"</f>
        <v>1941129420</v>
      </c>
      <c r="F209" t="str">
        <f>"9781941129425"</f>
        <v>9781941129425</v>
      </c>
      <c r="G209">
        <v>2</v>
      </c>
      <c r="H209">
        <v>4.2300000000000004</v>
      </c>
      <c r="I209" t="s">
        <v>1312</v>
      </c>
      <c r="J209" t="s">
        <v>1507</v>
      </c>
      <c r="K209">
        <v>46</v>
      </c>
      <c r="L209">
        <v>2016</v>
      </c>
      <c r="M209">
        <v>49</v>
      </c>
      <c r="N209" t="s">
        <v>1522</v>
      </c>
      <c r="O209" t="s">
        <v>1621</v>
      </c>
      <c r="P209" t="s">
        <v>1713</v>
      </c>
      <c r="Q209" t="s">
        <v>1717</v>
      </c>
      <c r="T209">
        <v>1</v>
      </c>
      <c r="W209">
        <v>0</v>
      </c>
    </row>
    <row r="210" spans="1:23" x14ac:dyDescent="0.2">
      <c r="A210" s="1">
        <v>208</v>
      </c>
      <c r="B210">
        <v>348244</v>
      </c>
      <c r="C210" t="s">
        <v>235</v>
      </c>
      <c r="D210" t="s">
        <v>850</v>
      </c>
      <c r="E210" t="str">
        <f>"1852421843"</f>
        <v>1852421843</v>
      </c>
      <c r="F210" t="str">
        <f>"9781852421847"</f>
        <v>9781852421847</v>
      </c>
      <c r="G210">
        <v>0</v>
      </c>
      <c r="H210">
        <v>3.99</v>
      </c>
      <c r="I210" t="s">
        <v>1313</v>
      </c>
      <c r="J210" t="s">
        <v>1507</v>
      </c>
      <c r="K210">
        <v>167</v>
      </c>
      <c r="L210">
        <v>1990</v>
      </c>
      <c r="M210">
        <v>1983</v>
      </c>
      <c r="O210" t="s">
        <v>1522</v>
      </c>
      <c r="P210" t="s">
        <v>1711</v>
      </c>
      <c r="T210">
        <v>0</v>
      </c>
      <c r="W210">
        <v>0</v>
      </c>
    </row>
    <row r="211" spans="1:23" x14ac:dyDescent="0.2">
      <c r="A211" s="1">
        <v>209</v>
      </c>
      <c r="B211">
        <v>17903</v>
      </c>
      <c r="C211" t="s">
        <v>236</v>
      </c>
      <c r="D211" t="s">
        <v>851</v>
      </c>
      <c r="E211" t="str">
        <f>"1559705280"</f>
        <v>1559705280</v>
      </c>
      <c r="F211" t="str">
        <f>"9781559705288"</f>
        <v>9781559705288</v>
      </c>
      <c r="G211">
        <v>0</v>
      </c>
      <c r="H211">
        <v>3.81</v>
      </c>
      <c r="I211" t="s">
        <v>1314</v>
      </c>
      <c r="J211" t="s">
        <v>1509</v>
      </c>
      <c r="K211">
        <v>121</v>
      </c>
      <c r="L211">
        <v>2000</v>
      </c>
      <c r="M211">
        <v>1998</v>
      </c>
      <c r="O211" t="s">
        <v>1523</v>
      </c>
      <c r="P211" t="s">
        <v>1711</v>
      </c>
      <c r="T211">
        <v>0</v>
      </c>
      <c r="W211">
        <v>0</v>
      </c>
    </row>
    <row r="212" spans="1:23" x14ac:dyDescent="0.2">
      <c r="A212" s="1">
        <v>210</v>
      </c>
      <c r="B212">
        <v>477380</v>
      </c>
      <c r="C212" t="s">
        <v>237</v>
      </c>
      <c r="D212" t="s">
        <v>852</v>
      </c>
      <c r="E212" t="str">
        <f>"0679601996"</f>
        <v>0679601996</v>
      </c>
      <c r="F212" t="str">
        <f>"9780679601999"</f>
        <v>9780679601999</v>
      </c>
      <c r="G212">
        <v>4</v>
      </c>
      <c r="H212">
        <v>4.26</v>
      </c>
      <c r="I212" t="s">
        <v>1315</v>
      </c>
      <c r="J212" t="s">
        <v>1509</v>
      </c>
      <c r="K212">
        <v>1462</v>
      </c>
      <c r="L212">
        <v>1996</v>
      </c>
      <c r="M212">
        <v>1844</v>
      </c>
      <c r="N212" t="s">
        <v>1523</v>
      </c>
      <c r="O212" t="s">
        <v>1622</v>
      </c>
      <c r="P212" t="s">
        <v>1713</v>
      </c>
      <c r="Q212" t="s">
        <v>1718</v>
      </c>
      <c r="R212" t="b">
        <v>1</v>
      </c>
      <c r="T212">
        <v>1</v>
      </c>
      <c r="W212">
        <v>0</v>
      </c>
    </row>
    <row r="213" spans="1:23" x14ac:dyDescent="0.2">
      <c r="A213" s="1">
        <v>211</v>
      </c>
      <c r="B213">
        <v>10016013</v>
      </c>
      <c r="C213" t="s">
        <v>238</v>
      </c>
      <c r="D213" t="s">
        <v>853</v>
      </c>
      <c r="E213" t="str">
        <f>""</f>
        <v/>
      </c>
      <c r="F213" t="str">
        <f>""</f>
        <v/>
      </c>
      <c r="G213">
        <v>0</v>
      </c>
      <c r="H213">
        <v>4.3899999999999997</v>
      </c>
      <c r="I213" t="s">
        <v>1316</v>
      </c>
      <c r="J213" t="s">
        <v>1508</v>
      </c>
      <c r="K213">
        <v>2184</v>
      </c>
      <c r="L213">
        <v>2015</v>
      </c>
      <c r="M213">
        <v>2015</v>
      </c>
      <c r="O213" t="s">
        <v>1622</v>
      </c>
      <c r="P213" t="s">
        <v>1711</v>
      </c>
      <c r="T213">
        <v>0</v>
      </c>
      <c r="W213">
        <v>0</v>
      </c>
    </row>
    <row r="214" spans="1:23" x14ac:dyDescent="0.2">
      <c r="A214" s="1">
        <v>212</v>
      </c>
      <c r="B214">
        <v>28589297</v>
      </c>
      <c r="C214" t="s">
        <v>239</v>
      </c>
      <c r="D214" t="s">
        <v>854</v>
      </c>
      <c r="E214" t="str">
        <f>""</f>
        <v/>
      </c>
      <c r="F214" t="str">
        <f>""</f>
        <v/>
      </c>
      <c r="G214">
        <v>0</v>
      </c>
      <c r="H214">
        <v>4.41</v>
      </c>
      <c r="J214" t="s">
        <v>1508</v>
      </c>
      <c r="K214">
        <v>658</v>
      </c>
      <c r="L214">
        <v>2017</v>
      </c>
      <c r="M214">
        <v>2017</v>
      </c>
      <c r="O214" t="s">
        <v>1622</v>
      </c>
      <c r="P214" t="s">
        <v>1711</v>
      </c>
      <c r="T214">
        <v>0</v>
      </c>
      <c r="W214">
        <v>0</v>
      </c>
    </row>
    <row r="215" spans="1:23" x14ac:dyDescent="0.2">
      <c r="A215" s="1">
        <v>213</v>
      </c>
      <c r="B215">
        <v>355941</v>
      </c>
      <c r="C215" t="s">
        <v>240</v>
      </c>
      <c r="D215" t="s">
        <v>855</v>
      </c>
      <c r="E215" t="str">
        <f>"0060564105"</f>
        <v>0060564105</v>
      </c>
      <c r="F215" t="str">
        <f>"9780060564100"</f>
        <v>9780060564100</v>
      </c>
      <c r="G215">
        <v>0</v>
      </c>
      <c r="H215">
        <v>4.04</v>
      </c>
      <c r="I215" t="s">
        <v>1317</v>
      </c>
      <c r="J215" t="s">
        <v>1507</v>
      </c>
      <c r="K215">
        <v>368</v>
      </c>
      <c r="L215">
        <v>2005</v>
      </c>
      <c r="M215">
        <v>2004</v>
      </c>
      <c r="O215" t="s">
        <v>1623</v>
      </c>
      <c r="P215" t="s">
        <v>1711</v>
      </c>
      <c r="T215">
        <v>0</v>
      </c>
      <c r="W215">
        <v>0</v>
      </c>
    </row>
    <row r="216" spans="1:23" x14ac:dyDescent="0.2">
      <c r="A216" s="1">
        <v>214</v>
      </c>
      <c r="B216">
        <v>524985</v>
      </c>
      <c r="C216" t="s">
        <v>241</v>
      </c>
      <c r="D216" t="s">
        <v>856</v>
      </c>
      <c r="E216" t="str">
        <f>"0140187774"</f>
        <v>0140187774</v>
      </c>
      <c r="F216" t="str">
        <f>"9780140187779"</f>
        <v>9780140187779</v>
      </c>
      <c r="G216">
        <v>0</v>
      </c>
      <c r="H216">
        <v>4.3099999999999996</v>
      </c>
      <c r="I216" t="s">
        <v>1213</v>
      </c>
      <c r="J216" t="s">
        <v>1507</v>
      </c>
      <c r="K216">
        <v>448</v>
      </c>
      <c r="L216">
        <v>1993</v>
      </c>
      <c r="M216">
        <v>1936</v>
      </c>
      <c r="O216" t="s">
        <v>1624</v>
      </c>
      <c r="P216" t="s">
        <v>1711</v>
      </c>
      <c r="T216">
        <v>0</v>
      </c>
      <c r="W216">
        <v>0</v>
      </c>
    </row>
    <row r="217" spans="1:23" x14ac:dyDescent="0.2">
      <c r="A217" s="1">
        <v>215</v>
      </c>
      <c r="B217">
        <v>31548</v>
      </c>
      <c r="C217" t="s">
        <v>242</v>
      </c>
      <c r="D217" t="s">
        <v>857</v>
      </c>
      <c r="E217" t="str">
        <f>"0451530179"</f>
        <v>0451530179</v>
      </c>
      <c r="F217" t="str">
        <f>"9780451530172"</f>
        <v>9780451530172</v>
      </c>
      <c r="G217">
        <v>0</v>
      </c>
      <c r="H217">
        <v>4.0999999999999996</v>
      </c>
      <c r="I217" t="s">
        <v>1178</v>
      </c>
      <c r="J217" t="s">
        <v>1507</v>
      </c>
      <c r="K217">
        <v>684</v>
      </c>
      <c r="L217">
        <v>2007</v>
      </c>
      <c r="M217">
        <v>1915</v>
      </c>
      <c r="O217" t="s">
        <v>1625</v>
      </c>
      <c r="P217" t="s">
        <v>1711</v>
      </c>
      <c r="T217">
        <v>0</v>
      </c>
      <c r="W217">
        <v>0</v>
      </c>
    </row>
    <row r="218" spans="1:23" x14ac:dyDescent="0.2">
      <c r="A218" s="1">
        <v>216</v>
      </c>
      <c r="B218">
        <v>12505</v>
      </c>
      <c r="C218" t="s">
        <v>243</v>
      </c>
      <c r="D218" t="s">
        <v>719</v>
      </c>
      <c r="E218" t="str">
        <f>"0679642420"</f>
        <v>0679642420</v>
      </c>
      <c r="F218" t="str">
        <f>"9780679642428"</f>
        <v>9780679642428</v>
      </c>
      <c r="G218">
        <v>0</v>
      </c>
      <c r="H218">
        <v>4.18</v>
      </c>
      <c r="I218" t="s">
        <v>1267</v>
      </c>
      <c r="J218" t="s">
        <v>1507</v>
      </c>
      <c r="K218">
        <v>667</v>
      </c>
      <c r="L218">
        <v>2003</v>
      </c>
      <c r="M218">
        <v>1869</v>
      </c>
      <c r="O218" t="s">
        <v>1625</v>
      </c>
      <c r="P218" t="s">
        <v>1711</v>
      </c>
      <c r="T218">
        <v>0</v>
      </c>
      <c r="W218">
        <v>0</v>
      </c>
    </row>
    <row r="219" spans="1:23" x14ac:dyDescent="0.2">
      <c r="A219" s="1">
        <v>217</v>
      </c>
      <c r="B219">
        <v>2932</v>
      </c>
      <c r="C219" t="s">
        <v>244</v>
      </c>
      <c r="D219" t="s">
        <v>858</v>
      </c>
      <c r="E219" t="str">
        <f>""</f>
        <v/>
      </c>
      <c r="F219" t="str">
        <f>""</f>
        <v/>
      </c>
      <c r="G219">
        <v>0</v>
      </c>
      <c r="H219">
        <v>3.68</v>
      </c>
      <c r="I219" t="s">
        <v>1267</v>
      </c>
      <c r="J219" t="s">
        <v>1507</v>
      </c>
      <c r="K219">
        <v>320</v>
      </c>
      <c r="L219">
        <v>2001</v>
      </c>
      <c r="M219">
        <v>1719</v>
      </c>
      <c r="O219" t="s">
        <v>1625</v>
      </c>
      <c r="P219" t="s">
        <v>1711</v>
      </c>
      <c r="T219">
        <v>0</v>
      </c>
      <c r="W219">
        <v>0</v>
      </c>
    </row>
    <row r="220" spans="1:23" x14ac:dyDescent="0.2">
      <c r="A220" s="1">
        <v>218</v>
      </c>
      <c r="B220">
        <v>93101</v>
      </c>
      <c r="C220" t="s">
        <v>245</v>
      </c>
      <c r="D220" t="s">
        <v>859</v>
      </c>
      <c r="E220" t="str">
        <f>"0812972147"</f>
        <v>0812972147</v>
      </c>
      <c r="F220" t="str">
        <f>"9780812972146"</f>
        <v>9780812972146</v>
      </c>
      <c r="G220">
        <v>0</v>
      </c>
      <c r="H220">
        <v>4.04</v>
      </c>
      <c r="I220" t="s">
        <v>1267</v>
      </c>
      <c r="J220" t="s">
        <v>1507</v>
      </c>
      <c r="K220">
        <v>1049</v>
      </c>
      <c r="L220">
        <v>2004</v>
      </c>
      <c r="M220">
        <v>1315</v>
      </c>
      <c r="O220" t="s">
        <v>1625</v>
      </c>
      <c r="P220" t="s">
        <v>1711</v>
      </c>
      <c r="T220">
        <v>0</v>
      </c>
      <c r="W220">
        <v>0</v>
      </c>
    </row>
    <row r="221" spans="1:23" x14ac:dyDescent="0.2">
      <c r="A221" s="1">
        <v>219</v>
      </c>
      <c r="B221">
        <v>18405</v>
      </c>
      <c r="C221" t="s">
        <v>246</v>
      </c>
      <c r="D221" t="s">
        <v>860</v>
      </c>
      <c r="E221" t="str">
        <f>"0446675539"</f>
        <v>0446675539</v>
      </c>
      <c r="F221" t="str">
        <f>"9780446675536"</f>
        <v>9780446675536</v>
      </c>
      <c r="G221">
        <v>0</v>
      </c>
      <c r="H221">
        <v>4.3</v>
      </c>
      <c r="I221" t="s">
        <v>1318</v>
      </c>
      <c r="J221" t="s">
        <v>1510</v>
      </c>
      <c r="K221">
        <v>1037</v>
      </c>
      <c r="L221">
        <v>1999</v>
      </c>
      <c r="M221">
        <v>1936</v>
      </c>
      <c r="O221" t="s">
        <v>1625</v>
      </c>
      <c r="P221" t="s">
        <v>1711</v>
      </c>
      <c r="T221">
        <v>0</v>
      </c>
      <c r="W221">
        <v>0</v>
      </c>
    </row>
    <row r="222" spans="1:23" x14ac:dyDescent="0.2">
      <c r="A222" s="1">
        <v>220</v>
      </c>
      <c r="B222">
        <v>17397466</v>
      </c>
      <c r="C222" t="s">
        <v>247</v>
      </c>
      <c r="D222" t="s">
        <v>861</v>
      </c>
      <c r="E222" t="str">
        <f>"1461471370"</f>
        <v>1461471370</v>
      </c>
      <c r="F222" t="str">
        <f>"9781461471370"</f>
        <v>9781461471370</v>
      </c>
      <c r="G222">
        <v>0</v>
      </c>
      <c r="H222">
        <v>4.6100000000000003</v>
      </c>
      <c r="I222" t="s">
        <v>1319</v>
      </c>
      <c r="J222" t="s">
        <v>1509</v>
      </c>
      <c r="K222">
        <v>426</v>
      </c>
      <c r="L222">
        <v>2017</v>
      </c>
      <c r="M222">
        <v>2013</v>
      </c>
      <c r="O222" t="s">
        <v>1626</v>
      </c>
      <c r="P222" t="s">
        <v>1711</v>
      </c>
      <c r="T222">
        <v>0</v>
      </c>
      <c r="W222">
        <v>0</v>
      </c>
    </row>
    <row r="223" spans="1:23" x14ac:dyDescent="0.2">
      <c r="A223" s="1">
        <v>221</v>
      </c>
      <c r="B223">
        <v>4643011</v>
      </c>
      <c r="C223" t="s">
        <v>248</v>
      </c>
      <c r="D223" t="s">
        <v>824</v>
      </c>
      <c r="E223" t="str">
        <f>"0615214479"</f>
        <v>0615214479</v>
      </c>
      <c r="F223" t="str">
        <f>"9780615214474"</f>
        <v>9780615214474</v>
      </c>
      <c r="G223">
        <v>0</v>
      </c>
      <c r="H223">
        <v>4.3099999999999996</v>
      </c>
      <c r="I223" t="s">
        <v>1320</v>
      </c>
      <c r="J223" t="s">
        <v>1507</v>
      </c>
      <c r="K223">
        <v>655</v>
      </c>
      <c r="L223">
        <v>2008</v>
      </c>
      <c r="M223">
        <v>2008</v>
      </c>
      <c r="O223" t="s">
        <v>1610</v>
      </c>
      <c r="P223" t="s">
        <v>1711</v>
      </c>
      <c r="T223">
        <v>0</v>
      </c>
      <c r="W223">
        <v>0</v>
      </c>
    </row>
    <row r="224" spans="1:23" x14ac:dyDescent="0.2">
      <c r="A224" s="1">
        <v>222</v>
      </c>
      <c r="B224">
        <v>30597</v>
      </c>
      <c r="C224" t="s">
        <v>249</v>
      </c>
      <c r="D224" t="s">
        <v>862</v>
      </c>
      <c r="E224" t="str">
        <f>"0451527887"</f>
        <v>0451527887</v>
      </c>
      <c r="F224" t="str">
        <f>"9780451527882"</f>
        <v>9780451527882</v>
      </c>
      <c r="G224">
        <v>0</v>
      </c>
      <c r="H224">
        <v>3.99</v>
      </c>
      <c r="I224" t="s">
        <v>1259</v>
      </c>
      <c r="J224" t="s">
        <v>1507</v>
      </c>
      <c r="K224">
        <v>510</v>
      </c>
      <c r="L224">
        <v>2001</v>
      </c>
      <c r="M224">
        <v>1831</v>
      </c>
      <c r="O224" t="s">
        <v>1627</v>
      </c>
      <c r="P224" t="s">
        <v>1711</v>
      </c>
      <c r="T224">
        <v>0</v>
      </c>
      <c r="W224">
        <v>0</v>
      </c>
    </row>
    <row r="225" spans="1:23" x14ac:dyDescent="0.2">
      <c r="A225" s="1">
        <v>223</v>
      </c>
      <c r="B225">
        <v>35629744</v>
      </c>
      <c r="C225" t="s">
        <v>250</v>
      </c>
      <c r="D225" t="s">
        <v>863</v>
      </c>
      <c r="E225" t="str">
        <f>"0735222916"</f>
        <v>0735222916</v>
      </c>
      <c r="F225" t="str">
        <f>"9780735222915"</f>
        <v>9780735222915</v>
      </c>
      <c r="G225">
        <v>0</v>
      </c>
      <c r="H225">
        <v>3.64</v>
      </c>
      <c r="I225" t="s">
        <v>1321</v>
      </c>
      <c r="J225" t="s">
        <v>1509</v>
      </c>
      <c r="K225">
        <v>592</v>
      </c>
      <c r="L225">
        <v>2018</v>
      </c>
      <c r="M225">
        <v>2017</v>
      </c>
      <c r="O225" t="s">
        <v>1628</v>
      </c>
      <c r="P225" t="s">
        <v>1711</v>
      </c>
      <c r="T225">
        <v>0</v>
      </c>
      <c r="W225">
        <v>0</v>
      </c>
    </row>
    <row r="226" spans="1:23" x14ac:dyDescent="0.2">
      <c r="A226" s="1">
        <v>224</v>
      </c>
      <c r="B226">
        <v>290979</v>
      </c>
      <c r="C226" t="s">
        <v>251</v>
      </c>
      <c r="D226" t="s">
        <v>757</v>
      </c>
      <c r="E226" t="str">
        <f>"0307266931"</f>
        <v>0307266931</v>
      </c>
      <c r="F226" t="str">
        <f>"9780307266934"</f>
        <v>9780307266934</v>
      </c>
      <c r="G226">
        <v>5</v>
      </c>
      <c r="H226">
        <v>4.12</v>
      </c>
      <c r="I226" t="s">
        <v>1270</v>
      </c>
      <c r="J226" t="s">
        <v>1509</v>
      </c>
      <c r="K226">
        <v>1273</v>
      </c>
      <c r="L226">
        <v>2007</v>
      </c>
      <c r="M226">
        <v>1867</v>
      </c>
      <c r="N226" t="s">
        <v>1524</v>
      </c>
      <c r="O226" t="s">
        <v>1627</v>
      </c>
      <c r="P226" t="s">
        <v>1713</v>
      </c>
      <c r="Q226" t="s">
        <v>1719</v>
      </c>
      <c r="T226">
        <v>1</v>
      </c>
      <c r="W226">
        <v>0</v>
      </c>
    </row>
    <row r="227" spans="1:23" x14ac:dyDescent="0.2">
      <c r="A227" s="1">
        <v>225</v>
      </c>
      <c r="B227">
        <v>27796761</v>
      </c>
      <c r="C227" t="s">
        <v>252</v>
      </c>
      <c r="D227" t="s">
        <v>864</v>
      </c>
      <c r="E227" t="str">
        <f>""</f>
        <v/>
      </c>
      <c r="F227" t="str">
        <f>""</f>
        <v/>
      </c>
      <c r="G227">
        <v>0</v>
      </c>
      <c r="H227">
        <v>4.17</v>
      </c>
      <c r="I227" t="s">
        <v>1322</v>
      </c>
      <c r="J227" t="s">
        <v>1511</v>
      </c>
      <c r="K227">
        <v>270</v>
      </c>
      <c r="L227">
        <v>2015</v>
      </c>
      <c r="M227">
        <v>2007</v>
      </c>
      <c r="O227" t="s">
        <v>1629</v>
      </c>
      <c r="P227" t="s">
        <v>1711</v>
      </c>
      <c r="T227">
        <v>0</v>
      </c>
      <c r="W227">
        <v>0</v>
      </c>
    </row>
    <row r="228" spans="1:23" x14ac:dyDescent="0.2">
      <c r="A228" s="1">
        <v>226</v>
      </c>
      <c r="B228">
        <v>135836</v>
      </c>
      <c r="C228" t="s">
        <v>253</v>
      </c>
      <c r="D228" t="s">
        <v>865</v>
      </c>
      <c r="E228" t="str">
        <f>"0099465892"</f>
        <v>0099465892</v>
      </c>
      <c r="F228" t="str">
        <f>"9780099465898"</f>
        <v>9780099465898</v>
      </c>
      <c r="G228">
        <v>0</v>
      </c>
      <c r="H228">
        <v>4.0599999999999996</v>
      </c>
      <c r="I228" t="s">
        <v>1167</v>
      </c>
      <c r="J228" t="s">
        <v>1507</v>
      </c>
      <c r="K228">
        <v>430</v>
      </c>
      <c r="L228">
        <v>1994</v>
      </c>
      <c r="M228">
        <v>1993</v>
      </c>
      <c r="O228" t="s">
        <v>1629</v>
      </c>
      <c r="P228" t="s">
        <v>1711</v>
      </c>
      <c r="T228">
        <v>0</v>
      </c>
      <c r="W228">
        <v>0</v>
      </c>
    </row>
    <row r="229" spans="1:23" x14ac:dyDescent="0.2">
      <c r="A229" s="1">
        <v>227</v>
      </c>
      <c r="B229">
        <v>34</v>
      </c>
      <c r="C229" t="s">
        <v>254</v>
      </c>
      <c r="D229" t="s">
        <v>785</v>
      </c>
      <c r="E229" t="str">
        <f>"0618346252"</f>
        <v>0618346252</v>
      </c>
      <c r="F229" t="str">
        <f>"9780618346257"</f>
        <v>9780618346257</v>
      </c>
      <c r="G229">
        <v>0</v>
      </c>
      <c r="H229">
        <v>4.3600000000000003</v>
      </c>
      <c r="I229" t="s">
        <v>1232</v>
      </c>
      <c r="J229" t="s">
        <v>1507</v>
      </c>
      <c r="K229">
        <v>398</v>
      </c>
      <c r="L229">
        <v>2003</v>
      </c>
      <c r="M229">
        <v>1954</v>
      </c>
      <c r="O229" t="s">
        <v>1630</v>
      </c>
      <c r="P229" t="s">
        <v>1711</v>
      </c>
      <c r="T229">
        <v>0</v>
      </c>
      <c r="W229">
        <v>0</v>
      </c>
    </row>
    <row r="230" spans="1:23" x14ac:dyDescent="0.2">
      <c r="A230" s="1">
        <v>228</v>
      </c>
      <c r="B230">
        <v>25958341</v>
      </c>
      <c r="C230" t="s">
        <v>255</v>
      </c>
      <c r="D230" t="s">
        <v>866</v>
      </c>
      <c r="E230" t="str">
        <f>""</f>
        <v/>
      </c>
      <c r="F230" t="str">
        <f>""</f>
        <v/>
      </c>
      <c r="G230">
        <v>0</v>
      </c>
      <c r="H230">
        <v>4</v>
      </c>
      <c r="I230" t="s">
        <v>1323</v>
      </c>
      <c r="J230" t="s">
        <v>1509</v>
      </c>
      <c r="K230">
        <v>207</v>
      </c>
      <c r="L230">
        <v>1950</v>
      </c>
      <c r="M230">
        <v>1950</v>
      </c>
      <c r="O230" t="s">
        <v>1631</v>
      </c>
      <c r="P230" t="s">
        <v>1711</v>
      </c>
      <c r="T230">
        <v>0</v>
      </c>
      <c r="W230">
        <v>0</v>
      </c>
    </row>
    <row r="231" spans="1:23" x14ac:dyDescent="0.2">
      <c r="A231" s="1">
        <v>229</v>
      </c>
      <c r="B231">
        <v>7718203</v>
      </c>
      <c r="C231" t="s">
        <v>256</v>
      </c>
      <c r="D231" t="s">
        <v>867</v>
      </c>
      <c r="E231" t="str">
        <f>"0691145687"</f>
        <v>0691145687</v>
      </c>
      <c r="F231" t="str">
        <f>"9780691145686"</f>
        <v>9780691145686</v>
      </c>
      <c r="G231">
        <v>0</v>
      </c>
      <c r="H231">
        <v>4.0199999999999996</v>
      </c>
      <c r="I231" t="s">
        <v>1324</v>
      </c>
      <c r="J231" t="s">
        <v>1509</v>
      </c>
      <c r="K231">
        <v>389</v>
      </c>
      <c r="L231">
        <v>2010</v>
      </c>
      <c r="M231">
        <v>2010</v>
      </c>
      <c r="O231" t="s">
        <v>1630</v>
      </c>
      <c r="P231" t="s">
        <v>1711</v>
      </c>
      <c r="T231">
        <v>0</v>
      </c>
      <c r="W231">
        <v>0</v>
      </c>
    </row>
    <row r="232" spans="1:23" x14ac:dyDescent="0.2">
      <c r="A232" s="1">
        <v>230</v>
      </c>
      <c r="B232">
        <v>248193</v>
      </c>
      <c r="C232" t="s">
        <v>257</v>
      </c>
      <c r="D232" t="s">
        <v>738</v>
      </c>
      <c r="E232" t="str">
        <f>"0465086454"</f>
        <v>0465086454</v>
      </c>
      <c r="F232" t="str">
        <f>"9780465086450"</f>
        <v>9780465086450</v>
      </c>
      <c r="G232">
        <v>0</v>
      </c>
      <c r="H232">
        <v>4.25</v>
      </c>
      <c r="I232" t="s">
        <v>1170</v>
      </c>
      <c r="J232" t="s">
        <v>1507</v>
      </c>
      <c r="K232">
        <v>632</v>
      </c>
      <c r="L232">
        <v>1998</v>
      </c>
      <c r="M232">
        <v>1997</v>
      </c>
      <c r="O232" t="s">
        <v>1525</v>
      </c>
      <c r="P232" t="s">
        <v>1711</v>
      </c>
      <c r="T232">
        <v>0</v>
      </c>
      <c r="W232">
        <v>0</v>
      </c>
    </row>
    <row r="233" spans="1:23" x14ac:dyDescent="0.2">
      <c r="A233" s="1">
        <v>231</v>
      </c>
      <c r="B233">
        <v>124431</v>
      </c>
      <c r="C233" t="s">
        <v>258</v>
      </c>
      <c r="D233" t="s">
        <v>868</v>
      </c>
      <c r="E233" t="str">
        <f>"1864501731"</f>
        <v>1864501731</v>
      </c>
      <c r="F233" t="str">
        <f>"9781864501735"</f>
        <v>9781864501735</v>
      </c>
      <c r="G233">
        <v>3</v>
      </c>
      <c r="H233">
        <v>4</v>
      </c>
      <c r="I233" t="s">
        <v>1325</v>
      </c>
      <c r="J233" t="s">
        <v>1507</v>
      </c>
      <c r="K233">
        <v>319</v>
      </c>
      <c r="L233">
        <v>2000</v>
      </c>
      <c r="M233">
        <v>1989</v>
      </c>
      <c r="N233" t="s">
        <v>1525</v>
      </c>
      <c r="O233" t="s">
        <v>1632</v>
      </c>
      <c r="P233" t="s">
        <v>1713</v>
      </c>
      <c r="Q233" t="s">
        <v>1720</v>
      </c>
      <c r="T233">
        <v>1</v>
      </c>
      <c r="W233">
        <v>0</v>
      </c>
    </row>
    <row r="234" spans="1:23" x14ac:dyDescent="0.2">
      <c r="A234" s="1">
        <v>232</v>
      </c>
      <c r="B234">
        <v>28766669</v>
      </c>
      <c r="C234" t="s">
        <v>259</v>
      </c>
      <c r="D234" t="s">
        <v>869</v>
      </c>
      <c r="E234" t="str">
        <f>"0973501820"</f>
        <v>0973501820</v>
      </c>
      <c r="F234" t="str">
        <f>"9780973501827"</f>
        <v>9780973501827</v>
      </c>
      <c r="G234">
        <v>0</v>
      </c>
      <c r="H234">
        <v>4.4400000000000004</v>
      </c>
      <c r="I234" t="s">
        <v>869</v>
      </c>
      <c r="J234" t="s">
        <v>1507</v>
      </c>
      <c r="K234">
        <v>166</v>
      </c>
      <c r="L234">
        <v>2015</v>
      </c>
      <c r="O234" t="s">
        <v>1525</v>
      </c>
      <c r="P234" t="s">
        <v>1711</v>
      </c>
      <c r="T234">
        <v>0</v>
      </c>
      <c r="W234">
        <v>0</v>
      </c>
    </row>
    <row r="235" spans="1:23" x14ac:dyDescent="0.2">
      <c r="A235" s="1">
        <v>233</v>
      </c>
      <c r="B235">
        <v>7873438</v>
      </c>
      <c r="C235" t="s">
        <v>260</v>
      </c>
      <c r="D235" t="s">
        <v>870</v>
      </c>
      <c r="E235" t="str">
        <f>"0805092811"</f>
        <v>0805092811</v>
      </c>
      <c r="F235" t="str">
        <f>"9780805092813"</f>
        <v>9780805092813</v>
      </c>
      <c r="G235">
        <v>0</v>
      </c>
      <c r="H235">
        <v>3.94</v>
      </c>
      <c r="I235" t="s">
        <v>1326</v>
      </c>
      <c r="J235" t="s">
        <v>1509</v>
      </c>
      <c r="K235">
        <v>291</v>
      </c>
      <c r="L235">
        <v>2010</v>
      </c>
      <c r="M235">
        <v>2010</v>
      </c>
      <c r="O235" t="s">
        <v>1633</v>
      </c>
      <c r="P235" t="s">
        <v>1711</v>
      </c>
      <c r="T235">
        <v>0</v>
      </c>
      <c r="W235">
        <v>0</v>
      </c>
    </row>
    <row r="236" spans="1:23" x14ac:dyDescent="0.2">
      <c r="A236" s="1">
        <v>234</v>
      </c>
      <c r="B236">
        <v>564850</v>
      </c>
      <c r="C236" t="s">
        <v>261</v>
      </c>
      <c r="D236" t="s">
        <v>871</v>
      </c>
      <c r="E236" t="str">
        <f>"0808403222"</f>
        <v>0808403222</v>
      </c>
      <c r="F236" t="str">
        <f>"9780808403227"</f>
        <v>9780808403227</v>
      </c>
      <c r="G236">
        <v>0</v>
      </c>
      <c r="H236">
        <v>3.95</v>
      </c>
      <c r="I236" t="s">
        <v>1327</v>
      </c>
      <c r="J236" t="s">
        <v>1509</v>
      </c>
      <c r="K236">
        <v>216</v>
      </c>
      <c r="L236">
        <v>1964</v>
      </c>
      <c r="M236">
        <v>1964</v>
      </c>
      <c r="O236" t="s">
        <v>1633</v>
      </c>
      <c r="P236" t="s">
        <v>1711</v>
      </c>
      <c r="T236">
        <v>0</v>
      </c>
      <c r="W236">
        <v>0</v>
      </c>
    </row>
    <row r="237" spans="1:23" x14ac:dyDescent="0.2">
      <c r="A237" s="1">
        <v>235</v>
      </c>
      <c r="B237">
        <v>9824</v>
      </c>
      <c r="C237" t="s">
        <v>262</v>
      </c>
      <c r="D237" t="s">
        <v>872</v>
      </c>
      <c r="E237" t="str">
        <f>"1582344779"</f>
        <v>1582344779</v>
      </c>
      <c r="F237" t="str">
        <f>"9781582344775"</f>
        <v>9781582344775</v>
      </c>
      <c r="G237">
        <v>0</v>
      </c>
      <c r="H237">
        <v>3.72</v>
      </c>
      <c r="I237" t="s">
        <v>1190</v>
      </c>
      <c r="J237" t="s">
        <v>1507</v>
      </c>
      <c r="K237">
        <v>272</v>
      </c>
      <c r="L237">
        <v>2005</v>
      </c>
      <c r="M237">
        <v>2004</v>
      </c>
      <c r="O237" t="s">
        <v>1634</v>
      </c>
      <c r="P237" t="s">
        <v>1711</v>
      </c>
      <c r="T237">
        <v>0</v>
      </c>
      <c r="W237">
        <v>0</v>
      </c>
    </row>
    <row r="238" spans="1:23" x14ac:dyDescent="0.2">
      <c r="A238" s="1">
        <v>236</v>
      </c>
      <c r="B238">
        <v>32025405</v>
      </c>
      <c r="C238" t="s">
        <v>263</v>
      </c>
      <c r="D238" t="s">
        <v>873</v>
      </c>
      <c r="E238" t="str">
        <f>"161200444X"</f>
        <v>161200444X</v>
      </c>
      <c r="F238" t="str">
        <f>"9781612004440"</f>
        <v>9781612004440</v>
      </c>
      <c r="G238">
        <v>0</v>
      </c>
      <c r="H238">
        <v>3.89</v>
      </c>
      <c r="I238" t="s">
        <v>1328</v>
      </c>
      <c r="J238" t="s">
        <v>1509</v>
      </c>
      <c r="K238">
        <v>336</v>
      </c>
      <c r="L238">
        <v>2017</v>
      </c>
      <c r="M238">
        <v>2017</v>
      </c>
      <c r="O238" t="s">
        <v>1635</v>
      </c>
      <c r="P238" t="s">
        <v>1711</v>
      </c>
      <c r="T238">
        <v>0</v>
      </c>
      <c r="W238">
        <v>0</v>
      </c>
    </row>
    <row r="239" spans="1:23" x14ac:dyDescent="0.2">
      <c r="A239" s="1">
        <v>237</v>
      </c>
      <c r="B239">
        <v>860183</v>
      </c>
      <c r="C239" t="s">
        <v>264</v>
      </c>
      <c r="D239" t="s">
        <v>874</v>
      </c>
      <c r="E239" t="str">
        <f>"0195030672"</f>
        <v>0195030672</v>
      </c>
      <c r="F239" t="str">
        <f>"9780195030679"</f>
        <v>9780195030679</v>
      </c>
      <c r="G239">
        <v>0</v>
      </c>
      <c r="H239">
        <v>3.91</v>
      </c>
      <c r="I239" t="s">
        <v>1186</v>
      </c>
      <c r="J239" t="s">
        <v>1507</v>
      </c>
      <c r="K239">
        <v>320</v>
      </c>
      <c r="L239">
        <v>1982</v>
      </c>
      <c r="M239">
        <v>1937</v>
      </c>
      <c r="O239" t="s">
        <v>1636</v>
      </c>
      <c r="P239" t="s">
        <v>1711</v>
      </c>
      <c r="T239">
        <v>0</v>
      </c>
      <c r="W239">
        <v>0</v>
      </c>
    </row>
    <row r="240" spans="1:23" x14ac:dyDescent="0.2">
      <c r="A240" s="1">
        <v>238</v>
      </c>
      <c r="B240">
        <v>19288043</v>
      </c>
      <c r="C240" t="s">
        <v>265</v>
      </c>
      <c r="D240" t="s">
        <v>875</v>
      </c>
      <c r="E240" t="str">
        <f>""</f>
        <v/>
      </c>
      <c r="F240" t="str">
        <f>""</f>
        <v/>
      </c>
      <c r="G240">
        <v>0</v>
      </c>
      <c r="H240">
        <v>4.08</v>
      </c>
      <c r="I240" t="s">
        <v>1195</v>
      </c>
      <c r="J240" t="s">
        <v>1507</v>
      </c>
      <c r="K240">
        <v>415</v>
      </c>
      <c r="L240">
        <v>2014</v>
      </c>
      <c r="M240">
        <v>2012</v>
      </c>
      <c r="O240" t="s">
        <v>1637</v>
      </c>
      <c r="P240" t="s">
        <v>1711</v>
      </c>
      <c r="T240">
        <v>0</v>
      </c>
      <c r="W240">
        <v>0</v>
      </c>
    </row>
    <row r="241" spans="1:23" x14ac:dyDescent="0.2">
      <c r="A241" s="1">
        <v>239</v>
      </c>
      <c r="B241">
        <v>97411</v>
      </c>
      <c r="C241" t="s">
        <v>266</v>
      </c>
      <c r="D241" t="s">
        <v>849</v>
      </c>
      <c r="E241" t="str">
        <f>"0140442103"</f>
        <v>0140442103</v>
      </c>
      <c r="F241" t="str">
        <f>"9780140442106"</f>
        <v>9780140442106</v>
      </c>
      <c r="G241">
        <v>0</v>
      </c>
      <c r="H241">
        <v>4.34</v>
      </c>
      <c r="I241" t="s">
        <v>1174</v>
      </c>
      <c r="J241" t="s">
        <v>1507</v>
      </c>
      <c r="K241">
        <v>256</v>
      </c>
      <c r="L241">
        <v>2004</v>
      </c>
      <c r="M241">
        <v>64</v>
      </c>
      <c r="O241" t="s">
        <v>1621</v>
      </c>
      <c r="P241" t="s">
        <v>1711</v>
      </c>
      <c r="T241">
        <v>0</v>
      </c>
      <c r="W241">
        <v>0</v>
      </c>
    </row>
    <row r="242" spans="1:23" x14ac:dyDescent="0.2">
      <c r="A242" s="1">
        <v>240</v>
      </c>
      <c r="B242">
        <v>9717129</v>
      </c>
      <c r="C242" t="s">
        <v>267</v>
      </c>
      <c r="D242" t="s">
        <v>876</v>
      </c>
      <c r="E242" t="str">
        <f>"0674058208"</f>
        <v>0674058208</v>
      </c>
      <c r="F242" t="str">
        <f>"9780674058200"</f>
        <v>9780674058200</v>
      </c>
      <c r="G242">
        <v>0</v>
      </c>
      <c r="H242">
        <v>4.17</v>
      </c>
      <c r="I242" t="s">
        <v>1329</v>
      </c>
      <c r="J242" t="s">
        <v>1509</v>
      </c>
      <c r="K242">
        <v>744</v>
      </c>
      <c r="L242">
        <v>2011</v>
      </c>
      <c r="M242">
        <v>2011</v>
      </c>
      <c r="O242" t="s">
        <v>1638</v>
      </c>
      <c r="P242" t="s">
        <v>1711</v>
      </c>
      <c r="T242">
        <v>0</v>
      </c>
      <c r="W242">
        <v>0</v>
      </c>
    </row>
    <row r="243" spans="1:23" x14ac:dyDescent="0.2">
      <c r="A243" s="1">
        <v>241</v>
      </c>
      <c r="B243">
        <v>50150779</v>
      </c>
      <c r="C243" t="s">
        <v>268</v>
      </c>
      <c r="D243" t="s">
        <v>793</v>
      </c>
      <c r="E243" t="str">
        <f>""</f>
        <v/>
      </c>
      <c r="F243" t="str">
        <f>""</f>
        <v/>
      </c>
      <c r="G243">
        <v>5</v>
      </c>
      <c r="H243">
        <v>4.62</v>
      </c>
      <c r="I243" t="s">
        <v>1272</v>
      </c>
      <c r="J243" t="s">
        <v>1511</v>
      </c>
      <c r="K243">
        <v>159</v>
      </c>
      <c r="L243">
        <v>2019</v>
      </c>
      <c r="O243" t="s">
        <v>1639</v>
      </c>
      <c r="P243" t="s">
        <v>1713</v>
      </c>
      <c r="T243">
        <v>1</v>
      </c>
      <c r="W243">
        <v>0</v>
      </c>
    </row>
    <row r="244" spans="1:23" x14ac:dyDescent="0.2">
      <c r="A244" s="1">
        <v>242</v>
      </c>
      <c r="B244">
        <v>1041606</v>
      </c>
      <c r="C244" t="s">
        <v>269</v>
      </c>
      <c r="D244" t="s">
        <v>877</v>
      </c>
      <c r="E244" t="str">
        <f>"0674839501"</f>
        <v>0674839501</v>
      </c>
      <c r="F244" t="str">
        <f>"9780674839502"</f>
        <v>9780674839502</v>
      </c>
      <c r="G244">
        <v>0</v>
      </c>
      <c r="H244">
        <v>3.8</v>
      </c>
      <c r="I244" t="s">
        <v>1330</v>
      </c>
      <c r="J244" t="s">
        <v>1509</v>
      </c>
      <c r="K244">
        <v>176</v>
      </c>
      <c r="L244">
        <v>1999</v>
      </c>
      <c r="M244">
        <v>1999</v>
      </c>
      <c r="O244" t="s">
        <v>1640</v>
      </c>
      <c r="P244" t="s">
        <v>1711</v>
      </c>
      <c r="T244">
        <v>0</v>
      </c>
      <c r="W244">
        <v>0</v>
      </c>
    </row>
    <row r="245" spans="1:23" x14ac:dyDescent="0.2">
      <c r="A245" s="1">
        <v>243</v>
      </c>
      <c r="B245">
        <v>14680</v>
      </c>
      <c r="C245" t="s">
        <v>270</v>
      </c>
      <c r="D245" t="s">
        <v>878</v>
      </c>
      <c r="E245" t="str">
        <f>"0679783180"</f>
        <v>0679783180</v>
      </c>
      <c r="F245" t="str">
        <f>"9780679783183"</f>
        <v>9780679783183</v>
      </c>
      <c r="G245">
        <v>0</v>
      </c>
      <c r="H245">
        <v>3.82</v>
      </c>
      <c r="I245" t="s">
        <v>1267</v>
      </c>
      <c r="J245" t="s">
        <v>1507</v>
      </c>
      <c r="K245">
        <v>532</v>
      </c>
      <c r="L245">
        <v>2000</v>
      </c>
      <c r="M245">
        <v>1839</v>
      </c>
      <c r="O245" t="s">
        <v>1640</v>
      </c>
      <c r="P245" t="s">
        <v>1711</v>
      </c>
      <c r="T245">
        <v>0</v>
      </c>
      <c r="W245">
        <v>0</v>
      </c>
    </row>
    <row r="246" spans="1:23" x14ac:dyDescent="0.2">
      <c r="A246" s="1">
        <v>244</v>
      </c>
      <c r="B246">
        <v>25698</v>
      </c>
      <c r="C246" t="s">
        <v>271</v>
      </c>
      <c r="D246" t="s">
        <v>879</v>
      </c>
      <c r="E246" t="str">
        <f>"0553585975"</f>
        <v>0553585975</v>
      </c>
      <c r="F246" t="str">
        <f>"9780553585971"</f>
        <v>9780553585971</v>
      </c>
      <c r="G246">
        <v>0</v>
      </c>
      <c r="H246">
        <v>3.85</v>
      </c>
      <c r="I246" t="s">
        <v>1331</v>
      </c>
      <c r="J246" t="s">
        <v>1513</v>
      </c>
      <c r="K246">
        <v>1264</v>
      </c>
      <c r="L246">
        <v>2003</v>
      </c>
      <c r="M246">
        <v>1776</v>
      </c>
      <c r="O246" t="s">
        <v>1641</v>
      </c>
      <c r="P246" t="s">
        <v>1712</v>
      </c>
      <c r="T246">
        <v>1</v>
      </c>
      <c r="W246">
        <v>0</v>
      </c>
    </row>
    <row r="247" spans="1:23" x14ac:dyDescent="0.2">
      <c r="A247" s="1">
        <v>245</v>
      </c>
      <c r="B247">
        <v>43194863</v>
      </c>
      <c r="C247" t="s">
        <v>268</v>
      </c>
      <c r="D247" t="s">
        <v>793</v>
      </c>
      <c r="E247" t="str">
        <f>"1999559312"</f>
        <v>1999559312</v>
      </c>
      <c r="F247" t="str">
        <f>"9781999559311"</f>
        <v>9781999559311</v>
      </c>
      <c r="G247">
        <v>5</v>
      </c>
      <c r="H247">
        <v>4.62</v>
      </c>
      <c r="I247" t="s">
        <v>1272</v>
      </c>
      <c r="J247" t="s">
        <v>1507</v>
      </c>
      <c r="K247">
        <v>162</v>
      </c>
      <c r="L247">
        <v>2018</v>
      </c>
      <c r="O247" t="s">
        <v>1642</v>
      </c>
      <c r="P247" t="s">
        <v>1713</v>
      </c>
      <c r="T247">
        <v>1</v>
      </c>
      <c r="W247">
        <v>0</v>
      </c>
    </row>
    <row r="248" spans="1:23" x14ac:dyDescent="0.2">
      <c r="A248" s="1">
        <v>246</v>
      </c>
      <c r="B248">
        <v>26530355</v>
      </c>
      <c r="C248" t="s">
        <v>272</v>
      </c>
      <c r="D248" t="s">
        <v>880</v>
      </c>
      <c r="E248" t="str">
        <f>"039335279X"</f>
        <v>039335279X</v>
      </c>
      <c r="F248" t="str">
        <f>"9780393352795"</f>
        <v>9780393352795</v>
      </c>
      <c r="G248">
        <v>0</v>
      </c>
      <c r="H248">
        <v>4.1900000000000004</v>
      </c>
      <c r="I248" t="s">
        <v>1177</v>
      </c>
      <c r="J248" t="s">
        <v>1507</v>
      </c>
      <c r="K248">
        <v>432</v>
      </c>
      <c r="L248">
        <v>2016</v>
      </c>
      <c r="M248">
        <v>2016</v>
      </c>
      <c r="O248" t="s">
        <v>1641</v>
      </c>
      <c r="P248" t="s">
        <v>1711</v>
      </c>
      <c r="T248">
        <v>0</v>
      </c>
      <c r="W248">
        <v>0</v>
      </c>
    </row>
    <row r="249" spans="1:23" x14ac:dyDescent="0.2">
      <c r="A249" s="1">
        <v>247</v>
      </c>
      <c r="B249">
        <v>16619</v>
      </c>
      <c r="C249" t="s">
        <v>273</v>
      </c>
      <c r="D249" t="s">
        <v>881</v>
      </c>
      <c r="E249" t="str">
        <f>"0140447601"</f>
        <v>0140447601</v>
      </c>
      <c r="F249" t="str">
        <f>"9780140447606"</f>
        <v>9780140447606</v>
      </c>
      <c r="G249">
        <v>0</v>
      </c>
      <c r="H249">
        <v>4.03</v>
      </c>
      <c r="I249" t="s">
        <v>1213</v>
      </c>
      <c r="J249" t="s">
        <v>1507</v>
      </c>
      <c r="K249">
        <v>983</v>
      </c>
      <c r="L249">
        <v>2003</v>
      </c>
      <c r="M249">
        <v>1835</v>
      </c>
      <c r="O249" t="s">
        <v>1643</v>
      </c>
      <c r="P249" t="s">
        <v>1711</v>
      </c>
      <c r="T249">
        <v>0</v>
      </c>
      <c r="W249">
        <v>0</v>
      </c>
    </row>
    <row r="250" spans="1:23" x14ac:dyDescent="0.2">
      <c r="A250" s="1">
        <v>248</v>
      </c>
      <c r="B250">
        <v>1433981</v>
      </c>
      <c r="C250" t="s">
        <v>274</v>
      </c>
      <c r="D250" t="s">
        <v>882</v>
      </c>
      <c r="E250" t="str">
        <f>"0701206047"</f>
        <v>0701206047</v>
      </c>
      <c r="F250" t="str">
        <f>"9780701206048"</f>
        <v>9780701206048</v>
      </c>
      <c r="G250">
        <v>0</v>
      </c>
      <c r="H250">
        <v>3.94</v>
      </c>
      <c r="I250" t="s">
        <v>1332</v>
      </c>
      <c r="J250" t="s">
        <v>1507</v>
      </c>
      <c r="K250">
        <v>376</v>
      </c>
      <c r="L250">
        <v>1984</v>
      </c>
      <c r="M250">
        <v>1929</v>
      </c>
      <c r="O250" t="s">
        <v>1644</v>
      </c>
      <c r="P250" t="s">
        <v>1711</v>
      </c>
      <c r="T250">
        <v>0</v>
      </c>
      <c r="W250">
        <v>0</v>
      </c>
    </row>
    <row r="251" spans="1:23" x14ac:dyDescent="0.2">
      <c r="A251" s="1">
        <v>249</v>
      </c>
      <c r="B251">
        <v>26889576</v>
      </c>
      <c r="C251" t="s">
        <v>275</v>
      </c>
      <c r="D251" t="s">
        <v>883</v>
      </c>
      <c r="E251" t="str">
        <f>"039335315X"</f>
        <v>039335315X</v>
      </c>
      <c r="F251" t="str">
        <f>"9780393353150"</f>
        <v>9780393353150</v>
      </c>
      <c r="G251">
        <v>0</v>
      </c>
      <c r="H251">
        <v>4.28</v>
      </c>
      <c r="I251" t="s">
        <v>1177</v>
      </c>
      <c r="J251" t="s">
        <v>1507</v>
      </c>
      <c r="K251">
        <v>320</v>
      </c>
      <c r="L251">
        <v>2015</v>
      </c>
      <c r="M251">
        <v>2010</v>
      </c>
      <c r="O251" t="s">
        <v>1526</v>
      </c>
      <c r="P251" t="s">
        <v>1711</v>
      </c>
      <c r="T251">
        <v>0</v>
      </c>
      <c r="W251">
        <v>0</v>
      </c>
    </row>
    <row r="252" spans="1:23" x14ac:dyDescent="0.2">
      <c r="A252" s="1">
        <v>250</v>
      </c>
      <c r="B252">
        <v>24724602</v>
      </c>
      <c r="C252" t="s">
        <v>276</v>
      </c>
      <c r="D252" t="s">
        <v>883</v>
      </c>
      <c r="E252" t="str">
        <f>"0393351599"</f>
        <v>0393351599</v>
      </c>
      <c r="F252" t="str">
        <f>"9780393351590"</f>
        <v>9780393351590</v>
      </c>
      <c r="G252">
        <v>0</v>
      </c>
      <c r="H252">
        <v>4.1399999999999997</v>
      </c>
      <c r="I252" t="s">
        <v>1177</v>
      </c>
      <c r="J252" t="s">
        <v>1507</v>
      </c>
      <c r="K252">
        <v>304</v>
      </c>
      <c r="L252">
        <v>2015</v>
      </c>
      <c r="M252">
        <v>2014</v>
      </c>
      <c r="O252" t="s">
        <v>1526</v>
      </c>
      <c r="P252" t="s">
        <v>1711</v>
      </c>
      <c r="T252">
        <v>0</v>
      </c>
      <c r="W252">
        <v>0</v>
      </c>
    </row>
    <row r="253" spans="1:23" x14ac:dyDescent="0.2">
      <c r="A253" s="1">
        <v>251</v>
      </c>
      <c r="B253">
        <v>1139231</v>
      </c>
      <c r="C253" t="s">
        <v>277</v>
      </c>
      <c r="D253" t="s">
        <v>884</v>
      </c>
      <c r="E253" t="str">
        <f>"0465072097"</f>
        <v>0465072097</v>
      </c>
      <c r="F253" t="str">
        <f>"9780465072095"</f>
        <v>9780465072095</v>
      </c>
      <c r="G253">
        <v>1</v>
      </c>
      <c r="H253">
        <v>4.16</v>
      </c>
      <c r="I253" t="s">
        <v>1333</v>
      </c>
      <c r="J253" t="s">
        <v>1509</v>
      </c>
      <c r="K253">
        <v>267</v>
      </c>
      <c r="L253">
        <v>2007</v>
      </c>
      <c r="M253">
        <v>2005</v>
      </c>
      <c r="N253" t="s">
        <v>1526</v>
      </c>
      <c r="O253" t="s">
        <v>1645</v>
      </c>
      <c r="P253" t="s">
        <v>1713</v>
      </c>
      <c r="Q253" t="s">
        <v>1721</v>
      </c>
      <c r="T253">
        <v>1</v>
      </c>
      <c r="W253">
        <v>0</v>
      </c>
    </row>
    <row r="254" spans="1:23" x14ac:dyDescent="0.2">
      <c r="A254" s="1">
        <v>252</v>
      </c>
      <c r="B254">
        <v>136603</v>
      </c>
      <c r="C254" t="s">
        <v>278</v>
      </c>
      <c r="D254" t="s">
        <v>885</v>
      </c>
      <c r="E254" t="str">
        <f>"0688097235"</f>
        <v>0688097235</v>
      </c>
      <c r="F254" t="str">
        <f>"9780688097233"</f>
        <v>9780688097233</v>
      </c>
      <c r="G254">
        <v>0</v>
      </c>
      <c r="H254">
        <v>3.54</v>
      </c>
      <c r="I254" t="s">
        <v>1334</v>
      </c>
      <c r="J254" t="s">
        <v>1509</v>
      </c>
      <c r="K254">
        <v>444</v>
      </c>
      <c r="L254">
        <v>1992</v>
      </c>
      <c r="M254">
        <v>1992</v>
      </c>
      <c r="O254" t="s">
        <v>1646</v>
      </c>
      <c r="P254" t="s">
        <v>1711</v>
      </c>
      <c r="T254">
        <v>0</v>
      </c>
      <c r="W254">
        <v>0</v>
      </c>
    </row>
    <row r="255" spans="1:23" x14ac:dyDescent="0.2">
      <c r="A255" s="1">
        <v>253</v>
      </c>
      <c r="B255">
        <v>373969</v>
      </c>
      <c r="C255" t="s">
        <v>279</v>
      </c>
      <c r="D255" t="s">
        <v>886</v>
      </c>
      <c r="E255" t="str">
        <f>"0670063274"</f>
        <v>0670063274</v>
      </c>
      <c r="F255" t="str">
        <f>"9780670063277"</f>
        <v>9780670063277</v>
      </c>
      <c r="G255">
        <v>0</v>
      </c>
      <c r="H255">
        <v>3.9</v>
      </c>
      <c r="I255" t="s">
        <v>1335</v>
      </c>
      <c r="J255" t="s">
        <v>1509</v>
      </c>
      <c r="K255">
        <v>499</v>
      </c>
      <c r="L255">
        <v>2007</v>
      </c>
      <c r="M255">
        <v>2007</v>
      </c>
      <c r="O255" t="s">
        <v>1647</v>
      </c>
      <c r="P255" t="s">
        <v>1711</v>
      </c>
      <c r="T255">
        <v>0</v>
      </c>
      <c r="W255">
        <v>0</v>
      </c>
    </row>
    <row r="256" spans="1:23" x14ac:dyDescent="0.2">
      <c r="A256" s="1">
        <v>254</v>
      </c>
      <c r="B256">
        <v>320</v>
      </c>
      <c r="C256" t="s">
        <v>280</v>
      </c>
      <c r="D256" t="s">
        <v>887</v>
      </c>
      <c r="E256" t="str">
        <f>""</f>
        <v/>
      </c>
      <c r="F256" t="str">
        <f>""</f>
        <v/>
      </c>
      <c r="G256">
        <v>0</v>
      </c>
      <c r="H256">
        <v>4.08</v>
      </c>
      <c r="I256" t="s">
        <v>1302</v>
      </c>
      <c r="J256" t="s">
        <v>1510</v>
      </c>
      <c r="K256">
        <v>417</v>
      </c>
      <c r="L256">
        <v>2003</v>
      </c>
      <c r="M256">
        <v>1967</v>
      </c>
      <c r="O256" t="s">
        <v>1597</v>
      </c>
      <c r="P256" t="s">
        <v>1711</v>
      </c>
      <c r="T256">
        <v>0</v>
      </c>
      <c r="W256">
        <v>0</v>
      </c>
    </row>
    <row r="257" spans="1:23" x14ac:dyDescent="0.2">
      <c r="A257" s="1">
        <v>255</v>
      </c>
      <c r="B257">
        <v>5176585</v>
      </c>
      <c r="C257" t="s">
        <v>281</v>
      </c>
      <c r="D257" t="s">
        <v>888</v>
      </c>
      <c r="E257" t="str">
        <f>"0307270750"</f>
        <v>0307270750</v>
      </c>
      <c r="F257" t="str">
        <f>"9780307270757"</f>
        <v>9780307270757</v>
      </c>
      <c r="G257">
        <v>0</v>
      </c>
      <c r="H257">
        <v>3.44</v>
      </c>
      <c r="I257" t="s">
        <v>1233</v>
      </c>
      <c r="J257" t="s">
        <v>1509</v>
      </c>
      <c r="K257">
        <v>211</v>
      </c>
      <c r="L257">
        <v>2009</v>
      </c>
      <c r="M257">
        <v>2008</v>
      </c>
      <c r="O257" t="s">
        <v>1648</v>
      </c>
      <c r="P257" t="s">
        <v>1711</v>
      </c>
      <c r="T257">
        <v>0</v>
      </c>
      <c r="W257">
        <v>0</v>
      </c>
    </row>
    <row r="258" spans="1:23" x14ac:dyDescent="0.2">
      <c r="A258" s="1">
        <v>256</v>
      </c>
      <c r="B258">
        <v>26312997</v>
      </c>
      <c r="C258" t="s">
        <v>282</v>
      </c>
      <c r="D258" t="s">
        <v>889</v>
      </c>
      <c r="E258" t="str">
        <f>"0544456254"</f>
        <v>0544456254</v>
      </c>
      <c r="F258" t="str">
        <f>"9780544456259"</f>
        <v>9780544456259</v>
      </c>
      <c r="G258">
        <v>0</v>
      </c>
      <c r="H258">
        <v>4.2699999999999996</v>
      </c>
      <c r="I258" t="s">
        <v>1336</v>
      </c>
      <c r="J258" t="s">
        <v>1508</v>
      </c>
      <c r="K258">
        <v>336</v>
      </c>
      <c r="L258">
        <v>2016</v>
      </c>
      <c r="M258">
        <v>2016</v>
      </c>
      <c r="O258" t="s">
        <v>1648</v>
      </c>
      <c r="P258" t="s">
        <v>1711</v>
      </c>
      <c r="T258">
        <v>0</v>
      </c>
      <c r="W258">
        <v>0</v>
      </c>
    </row>
    <row r="259" spans="1:23" x14ac:dyDescent="0.2">
      <c r="A259" s="1">
        <v>257</v>
      </c>
      <c r="B259">
        <v>187730</v>
      </c>
      <c r="C259" t="s">
        <v>283</v>
      </c>
      <c r="D259" t="s">
        <v>890</v>
      </c>
      <c r="E259" t="str">
        <f>"0520081161"</f>
        <v>0520081161</v>
      </c>
      <c r="F259" t="str">
        <f>"9780520081161"</f>
        <v>9780520081161</v>
      </c>
      <c r="G259">
        <v>0</v>
      </c>
      <c r="H259">
        <v>4.4000000000000004</v>
      </c>
      <c r="I259" t="s">
        <v>1337</v>
      </c>
      <c r="J259" t="s">
        <v>1507</v>
      </c>
      <c r="K259">
        <v>699</v>
      </c>
      <c r="L259">
        <v>1992</v>
      </c>
      <c r="M259">
        <v>1979</v>
      </c>
      <c r="O259" t="s">
        <v>1649</v>
      </c>
      <c r="P259" t="s">
        <v>1711</v>
      </c>
      <c r="T259">
        <v>0</v>
      </c>
      <c r="W259">
        <v>0</v>
      </c>
    </row>
    <row r="260" spans="1:23" x14ac:dyDescent="0.2">
      <c r="A260" s="1">
        <v>258</v>
      </c>
      <c r="B260">
        <v>762098</v>
      </c>
      <c r="C260" t="s">
        <v>284</v>
      </c>
      <c r="D260" t="s">
        <v>890</v>
      </c>
      <c r="E260" t="str">
        <f>"0520081153"</f>
        <v>0520081153</v>
      </c>
      <c r="F260" t="str">
        <f>"9780520081154"</f>
        <v>9780520081154</v>
      </c>
      <c r="G260">
        <v>0</v>
      </c>
      <c r="H260">
        <v>4.42</v>
      </c>
      <c r="I260" t="s">
        <v>1337</v>
      </c>
      <c r="J260" t="s">
        <v>1507</v>
      </c>
      <c r="K260">
        <v>670</v>
      </c>
      <c r="L260">
        <v>1992</v>
      </c>
      <c r="M260">
        <v>1979</v>
      </c>
      <c r="O260" t="s">
        <v>1649</v>
      </c>
      <c r="P260" t="s">
        <v>1711</v>
      </c>
      <c r="T260">
        <v>0</v>
      </c>
      <c r="W260">
        <v>0</v>
      </c>
    </row>
    <row r="261" spans="1:23" x14ac:dyDescent="0.2">
      <c r="A261" s="1">
        <v>259</v>
      </c>
      <c r="B261">
        <v>103431</v>
      </c>
      <c r="C261" t="s">
        <v>285</v>
      </c>
      <c r="D261" t="s">
        <v>890</v>
      </c>
      <c r="E261" t="str">
        <f>""</f>
        <v/>
      </c>
      <c r="F261" t="str">
        <f>"9780520081147"</f>
        <v>9780520081147</v>
      </c>
      <c r="G261">
        <v>0</v>
      </c>
      <c r="H261">
        <v>4.32</v>
      </c>
      <c r="I261" t="s">
        <v>1337</v>
      </c>
      <c r="J261" t="s">
        <v>1507</v>
      </c>
      <c r="K261">
        <v>623</v>
      </c>
      <c r="L261">
        <v>1992</v>
      </c>
      <c r="M261">
        <v>1979</v>
      </c>
      <c r="O261" t="s">
        <v>1649</v>
      </c>
      <c r="P261" t="s">
        <v>1711</v>
      </c>
      <c r="T261">
        <v>0</v>
      </c>
      <c r="W261">
        <v>0</v>
      </c>
    </row>
    <row r="262" spans="1:23" x14ac:dyDescent="0.2">
      <c r="A262" s="1">
        <v>260</v>
      </c>
      <c r="B262">
        <v>41181911</v>
      </c>
      <c r="C262" t="s">
        <v>286</v>
      </c>
      <c r="D262" t="s">
        <v>891</v>
      </c>
      <c r="E262" t="str">
        <f>"0525533583"</f>
        <v>0525533583</v>
      </c>
      <c r="F262" t="str">
        <f>"9780525533580"</f>
        <v>9780525533580</v>
      </c>
      <c r="G262">
        <v>0</v>
      </c>
      <c r="H262">
        <v>4.05</v>
      </c>
      <c r="I262" t="s">
        <v>1243</v>
      </c>
      <c r="J262" t="s">
        <v>1509</v>
      </c>
      <c r="K262">
        <v>354</v>
      </c>
      <c r="L262">
        <v>2019</v>
      </c>
      <c r="M262">
        <v>2019</v>
      </c>
      <c r="O262" t="s">
        <v>1650</v>
      </c>
      <c r="P262" t="s">
        <v>1711</v>
      </c>
      <c r="T262">
        <v>0</v>
      </c>
      <c r="W262">
        <v>0</v>
      </c>
    </row>
    <row r="263" spans="1:23" x14ac:dyDescent="0.2">
      <c r="A263" s="1">
        <v>261</v>
      </c>
      <c r="B263">
        <v>59924</v>
      </c>
      <c r="C263" t="s">
        <v>287</v>
      </c>
      <c r="D263" t="s">
        <v>892</v>
      </c>
      <c r="E263" t="str">
        <f>"0060512741"</f>
        <v>0060512741</v>
      </c>
      <c r="F263" t="str">
        <f>"9780060512743"</f>
        <v>9780060512743</v>
      </c>
      <c r="G263">
        <v>0</v>
      </c>
      <c r="H263">
        <v>4.1100000000000003</v>
      </c>
      <c r="I263" t="s">
        <v>1290</v>
      </c>
      <c r="J263" t="s">
        <v>1507</v>
      </c>
      <c r="K263">
        <v>176</v>
      </c>
      <c r="L263">
        <v>2003</v>
      </c>
      <c r="M263">
        <v>1971</v>
      </c>
      <c r="O263" t="s">
        <v>1527</v>
      </c>
      <c r="P263" t="s">
        <v>1711</v>
      </c>
      <c r="T263">
        <v>0</v>
      </c>
      <c r="W263">
        <v>0</v>
      </c>
    </row>
    <row r="264" spans="1:23" x14ac:dyDescent="0.2">
      <c r="A264" s="1">
        <v>262</v>
      </c>
      <c r="B264">
        <v>35167685</v>
      </c>
      <c r="C264" t="s">
        <v>288</v>
      </c>
      <c r="D264" t="s">
        <v>893</v>
      </c>
      <c r="E264" t="str">
        <f>"0393355624"</f>
        <v>0393355624</v>
      </c>
      <c r="F264" t="str">
        <f>"9780393355628"</f>
        <v>9780393355628</v>
      </c>
      <c r="G264">
        <v>3</v>
      </c>
      <c r="H264">
        <v>4.2699999999999996</v>
      </c>
      <c r="I264" t="s">
        <v>1177</v>
      </c>
      <c r="J264" t="s">
        <v>1507</v>
      </c>
      <c r="K264">
        <v>400</v>
      </c>
      <c r="L264">
        <v>2018</v>
      </c>
      <c r="M264">
        <v>1985</v>
      </c>
      <c r="N264" t="s">
        <v>1527</v>
      </c>
      <c r="O264" t="s">
        <v>1591</v>
      </c>
      <c r="P264" t="s">
        <v>1713</v>
      </c>
      <c r="Q264" t="s">
        <v>1722</v>
      </c>
      <c r="T264">
        <v>1</v>
      </c>
      <c r="W264">
        <v>0</v>
      </c>
    </row>
    <row r="265" spans="1:23" x14ac:dyDescent="0.2">
      <c r="A265" s="1">
        <v>263</v>
      </c>
      <c r="B265">
        <v>554640</v>
      </c>
      <c r="C265" t="s">
        <v>289</v>
      </c>
      <c r="D265" t="s">
        <v>894</v>
      </c>
      <c r="E265" t="str">
        <f>"0879051698"</f>
        <v>0879051698</v>
      </c>
      <c r="F265" t="str">
        <f>"9780879051693"</f>
        <v>9780879051693</v>
      </c>
      <c r="G265">
        <v>3</v>
      </c>
      <c r="H265">
        <v>4.03</v>
      </c>
      <c r="I265" t="s">
        <v>1338</v>
      </c>
      <c r="J265" t="s">
        <v>1507</v>
      </c>
      <c r="K265">
        <v>175</v>
      </c>
      <c r="L265">
        <v>1984</v>
      </c>
      <c r="M265">
        <v>1984</v>
      </c>
      <c r="N265" t="s">
        <v>1528</v>
      </c>
      <c r="O265" t="s">
        <v>1555</v>
      </c>
      <c r="P265" t="s">
        <v>1713</v>
      </c>
      <c r="Q265" t="s">
        <v>1723</v>
      </c>
      <c r="T265">
        <v>1</v>
      </c>
      <c r="W265">
        <v>0</v>
      </c>
    </row>
    <row r="266" spans="1:23" x14ac:dyDescent="0.2">
      <c r="A266" s="1">
        <v>264</v>
      </c>
      <c r="B266">
        <v>32289</v>
      </c>
      <c r="C266" t="s">
        <v>290</v>
      </c>
      <c r="D266" t="s">
        <v>895</v>
      </c>
      <c r="E266" t="str">
        <f>"0743202414"</f>
        <v>0743202414</v>
      </c>
      <c r="F266" t="str">
        <f>"9780743202411"</f>
        <v>9780743202411</v>
      </c>
      <c r="G266">
        <v>0</v>
      </c>
      <c r="H266">
        <v>4.3600000000000003</v>
      </c>
      <c r="I266" t="s">
        <v>1226</v>
      </c>
      <c r="J266" t="s">
        <v>1507</v>
      </c>
      <c r="K266">
        <v>304</v>
      </c>
      <c r="L266">
        <v>2002</v>
      </c>
      <c r="M266">
        <v>2001</v>
      </c>
      <c r="O266" t="s">
        <v>1528</v>
      </c>
      <c r="P266" t="s">
        <v>1711</v>
      </c>
      <c r="T266">
        <v>0</v>
      </c>
      <c r="W266">
        <v>0</v>
      </c>
    </row>
    <row r="267" spans="1:23" x14ac:dyDescent="0.2">
      <c r="A267" s="1">
        <v>265</v>
      </c>
      <c r="B267">
        <v>4214</v>
      </c>
      <c r="C267" t="s">
        <v>291</v>
      </c>
      <c r="D267" t="s">
        <v>896</v>
      </c>
      <c r="E267" t="str">
        <f>"0770430074"</f>
        <v>0770430074</v>
      </c>
      <c r="F267" t="str">
        <f>"9780770430078"</f>
        <v>9780770430078</v>
      </c>
      <c r="G267">
        <v>0</v>
      </c>
      <c r="H267">
        <v>3.92</v>
      </c>
      <c r="I267" t="s">
        <v>1339</v>
      </c>
      <c r="J267" t="s">
        <v>1507</v>
      </c>
      <c r="K267">
        <v>460</v>
      </c>
      <c r="L267">
        <v>2006</v>
      </c>
      <c r="M267">
        <v>2001</v>
      </c>
      <c r="O267" t="s">
        <v>1651</v>
      </c>
      <c r="P267" t="s">
        <v>1711</v>
      </c>
      <c r="T267">
        <v>0</v>
      </c>
      <c r="W267">
        <v>0</v>
      </c>
    </row>
    <row r="268" spans="1:23" x14ac:dyDescent="0.2">
      <c r="A268" s="1">
        <v>266</v>
      </c>
      <c r="B268">
        <v>16145175</v>
      </c>
      <c r="C268" t="s">
        <v>292</v>
      </c>
      <c r="D268" t="s">
        <v>897</v>
      </c>
      <c r="E268" t="str">
        <f>"0520274067"</f>
        <v>0520274067</v>
      </c>
      <c r="F268" t="str">
        <f>"9780520274068"</f>
        <v>9780520274068</v>
      </c>
      <c r="G268">
        <v>3</v>
      </c>
      <c r="H268">
        <v>3.9</v>
      </c>
      <c r="I268" t="s">
        <v>1337</v>
      </c>
      <c r="J268" t="s">
        <v>1509</v>
      </c>
      <c r="K268">
        <v>296</v>
      </c>
      <c r="L268">
        <v>2013</v>
      </c>
      <c r="M268">
        <v>2013</v>
      </c>
      <c r="N268" t="s">
        <v>1529</v>
      </c>
      <c r="O268" t="s">
        <v>1595</v>
      </c>
      <c r="P268" t="s">
        <v>1713</v>
      </c>
      <c r="Q268" t="s">
        <v>1724</v>
      </c>
      <c r="T268">
        <v>1</v>
      </c>
      <c r="W268">
        <v>0</v>
      </c>
    </row>
    <row r="269" spans="1:23" x14ac:dyDescent="0.2">
      <c r="A269" s="1">
        <v>267</v>
      </c>
      <c r="B269">
        <v>530415</v>
      </c>
      <c r="C269" t="s">
        <v>293</v>
      </c>
      <c r="D269" t="s">
        <v>898</v>
      </c>
      <c r="E269" t="str">
        <f>"9056995014"</f>
        <v>9056995014</v>
      </c>
      <c r="F269" t="str">
        <f>"9789056995010"</f>
        <v>9789056995010</v>
      </c>
      <c r="G269">
        <v>0</v>
      </c>
      <c r="H269">
        <v>4.2699999999999996</v>
      </c>
      <c r="I269" t="s">
        <v>1340</v>
      </c>
      <c r="J269" t="s">
        <v>1507</v>
      </c>
      <c r="K269">
        <v>376</v>
      </c>
      <c r="L269">
        <v>1997</v>
      </c>
      <c r="M269">
        <v>1996</v>
      </c>
      <c r="O269" t="s">
        <v>1652</v>
      </c>
      <c r="P269" t="s">
        <v>1711</v>
      </c>
      <c r="T269">
        <v>0</v>
      </c>
      <c r="W269">
        <v>0</v>
      </c>
    </row>
    <row r="270" spans="1:23" x14ac:dyDescent="0.2">
      <c r="A270" s="1">
        <v>268</v>
      </c>
      <c r="B270">
        <v>42867903</v>
      </c>
      <c r="C270" t="s">
        <v>294</v>
      </c>
      <c r="D270" t="s">
        <v>899</v>
      </c>
      <c r="E270" t="str">
        <f>"1250316960"</f>
        <v>1250316960</v>
      </c>
      <c r="F270" t="str">
        <f>"9781250316967"</f>
        <v>9781250316967</v>
      </c>
      <c r="G270">
        <v>0</v>
      </c>
      <c r="H270">
        <v>4.16</v>
      </c>
      <c r="I270" t="s">
        <v>1341</v>
      </c>
      <c r="J270" t="s">
        <v>1507</v>
      </c>
      <c r="K270">
        <v>256</v>
      </c>
      <c r="L270">
        <v>2019</v>
      </c>
      <c r="M270">
        <v>2019</v>
      </c>
      <c r="O270" t="s">
        <v>1652</v>
      </c>
      <c r="P270" t="s">
        <v>1711</v>
      </c>
      <c r="T270">
        <v>0</v>
      </c>
      <c r="W270">
        <v>0</v>
      </c>
    </row>
    <row r="271" spans="1:23" x14ac:dyDescent="0.2">
      <c r="A271" s="1">
        <v>269</v>
      </c>
      <c r="B271">
        <v>3047</v>
      </c>
      <c r="C271" t="s">
        <v>295</v>
      </c>
      <c r="D271" t="s">
        <v>900</v>
      </c>
      <c r="E271" t="str">
        <f>"0465081428"</f>
        <v>0465081428</v>
      </c>
      <c r="F271" t="str">
        <f>"9780465081424"</f>
        <v>9780465081424</v>
      </c>
      <c r="G271">
        <v>0</v>
      </c>
      <c r="H271">
        <v>4.32</v>
      </c>
      <c r="I271" t="s">
        <v>1170</v>
      </c>
      <c r="J271" t="s">
        <v>1507</v>
      </c>
      <c r="K271">
        <v>304</v>
      </c>
      <c r="L271">
        <v>2002</v>
      </c>
      <c r="M271">
        <v>1986</v>
      </c>
      <c r="O271" t="s">
        <v>1652</v>
      </c>
      <c r="P271" t="s">
        <v>1711</v>
      </c>
      <c r="T271">
        <v>0</v>
      </c>
      <c r="W271">
        <v>0</v>
      </c>
    </row>
    <row r="272" spans="1:23" x14ac:dyDescent="0.2">
      <c r="A272" s="1">
        <v>270</v>
      </c>
      <c r="B272">
        <v>50885372</v>
      </c>
      <c r="C272" t="s">
        <v>296</v>
      </c>
      <c r="D272" t="s">
        <v>901</v>
      </c>
      <c r="E272" t="str">
        <f>""</f>
        <v/>
      </c>
      <c r="F272" t="str">
        <f>""</f>
        <v/>
      </c>
      <c r="G272">
        <v>0</v>
      </c>
      <c r="H272">
        <v>3.96</v>
      </c>
      <c r="I272" t="s">
        <v>1342</v>
      </c>
      <c r="J272" t="s">
        <v>1511</v>
      </c>
      <c r="L272">
        <v>2019</v>
      </c>
      <c r="O272" t="s">
        <v>1530</v>
      </c>
      <c r="P272" t="s">
        <v>1711</v>
      </c>
      <c r="T272">
        <v>0</v>
      </c>
      <c r="W272">
        <v>0</v>
      </c>
    </row>
    <row r="273" spans="1:23" x14ac:dyDescent="0.2">
      <c r="A273" s="1">
        <v>271</v>
      </c>
      <c r="B273">
        <v>463297</v>
      </c>
      <c r="C273" t="s">
        <v>297</v>
      </c>
      <c r="D273" t="s">
        <v>902</v>
      </c>
      <c r="E273" t="str">
        <f>"0060596554"</f>
        <v>0060596554</v>
      </c>
      <c r="F273" t="str">
        <f>"9780060596552"</f>
        <v>9780060596552</v>
      </c>
      <c r="G273">
        <v>4</v>
      </c>
      <c r="H273">
        <v>3.99</v>
      </c>
      <c r="I273" t="s">
        <v>1211</v>
      </c>
      <c r="J273" t="s">
        <v>1507</v>
      </c>
      <c r="K273">
        <v>384</v>
      </c>
      <c r="L273">
        <v>2005</v>
      </c>
      <c r="M273">
        <v>1927</v>
      </c>
      <c r="N273" t="s">
        <v>1530</v>
      </c>
      <c r="O273" t="s">
        <v>1653</v>
      </c>
      <c r="P273" t="s">
        <v>1713</v>
      </c>
      <c r="Q273" t="s">
        <v>1725</v>
      </c>
      <c r="T273">
        <v>1</v>
      </c>
      <c r="W273">
        <v>0</v>
      </c>
    </row>
    <row r="274" spans="1:23" x14ac:dyDescent="0.2">
      <c r="A274" s="1">
        <v>272</v>
      </c>
      <c r="B274">
        <v>20685373</v>
      </c>
      <c r="C274" t="s">
        <v>298</v>
      </c>
      <c r="D274" t="s">
        <v>903</v>
      </c>
      <c r="E274" t="str">
        <f>"0307720659"</f>
        <v>0307720659</v>
      </c>
      <c r="F274" t="str">
        <f>"9780307720658"</f>
        <v>9780307720658</v>
      </c>
      <c r="G274">
        <v>0</v>
      </c>
      <c r="H274">
        <v>3.9</v>
      </c>
      <c r="I274" t="s">
        <v>1343</v>
      </c>
      <c r="J274" t="s">
        <v>1509</v>
      </c>
      <c r="K274">
        <v>291</v>
      </c>
      <c r="L274">
        <v>2014</v>
      </c>
      <c r="M274">
        <v>2014</v>
      </c>
      <c r="O274" t="s">
        <v>1654</v>
      </c>
      <c r="P274" t="s">
        <v>1711</v>
      </c>
      <c r="T274">
        <v>0</v>
      </c>
      <c r="W274">
        <v>0</v>
      </c>
    </row>
    <row r="275" spans="1:23" x14ac:dyDescent="0.2">
      <c r="A275" s="1">
        <v>273</v>
      </c>
      <c r="B275">
        <v>6618</v>
      </c>
      <c r="C275" t="s">
        <v>299</v>
      </c>
      <c r="D275" t="s">
        <v>904</v>
      </c>
      <c r="E275" t="str">
        <f>"1402718616"</f>
        <v>1402718616</v>
      </c>
      <c r="F275" t="str">
        <f>"9781402718618"</f>
        <v>9781402718618</v>
      </c>
      <c r="G275">
        <v>0</v>
      </c>
      <c r="H275">
        <v>4.29</v>
      </c>
      <c r="I275" t="s">
        <v>1344</v>
      </c>
      <c r="J275" t="s">
        <v>1509</v>
      </c>
      <c r="K275">
        <v>224</v>
      </c>
      <c r="L275">
        <v>2004</v>
      </c>
      <c r="M275">
        <v>1985</v>
      </c>
      <c r="O275" t="s">
        <v>1655</v>
      </c>
      <c r="P275" t="s">
        <v>1711</v>
      </c>
      <c r="T275">
        <v>0</v>
      </c>
      <c r="W275">
        <v>0</v>
      </c>
    </row>
    <row r="276" spans="1:23" x14ac:dyDescent="0.2">
      <c r="A276" s="1">
        <v>274</v>
      </c>
      <c r="B276">
        <v>237177</v>
      </c>
      <c r="C276" t="s">
        <v>300</v>
      </c>
      <c r="D276" t="s">
        <v>905</v>
      </c>
      <c r="E276" t="str">
        <f>"0312362722"</f>
        <v>0312362722</v>
      </c>
      <c r="F276" t="str">
        <f>"9780312362720"</f>
        <v>9780312362720</v>
      </c>
      <c r="G276">
        <v>0</v>
      </c>
      <c r="H276">
        <v>3.89</v>
      </c>
      <c r="I276" t="s">
        <v>1189</v>
      </c>
      <c r="J276" t="s">
        <v>1509</v>
      </c>
      <c r="K276">
        <v>342</v>
      </c>
      <c r="L276">
        <v>2007</v>
      </c>
      <c r="M276">
        <v>2006</v>
      </c>
      <c r="O276" t="s">
        <v>1656</v>
      </c>
      <c r="P276" t="s">
        <v>1711</v>
      </c>
      <c r="T276">
        <v>0</v>
      </c>
      <c r="W276">
        <v>0</v>
      </c>
    </row>
    <row r="277" spans="1:23" x14ac:dyDescent="0.2">
      <c r="A277" s="1">
        <v>275</v>
      </c>
      <c r="B277">
        <v>40383049</v>
      </c>
      <c r="C277" t="s">
        <v>301</v>
      </c>
      <c r="D277" t="s">
        <v>906</v>
      </c>
      <c r="E277" t="str">
        <f>""</f>
        <v/>
      </c>
      <c r="F277" t="str">
        <f>""</f>
        <v/>
      </c>
      <c r="G277">
        <v>0</v>
      </c>
      <c r="H277">
        <v>3.8</v>
      </c>
      <c r="I277" t="s">
        <v>1345</v>
      </c>
      <c r="J277" t="s">
        <v>1511</v>
      </c>
      <c r="K277">
        <v>160</v>
      </c>
      <c r="L277">
        <v>2009</v>
      </c>
      <c r="M277">
        <v>1999</v>
      </c>
      <c r="O277" t="s">
        <v>1657</v>
      </c>
      <c r="P277" t="s">
        <v>1711</v>
      </c>
      <c r="T277">
        <v>0</v>
      </c>
      <c r="W277">
        <v>0</v>
      </c>
    </row>
    <row r="278" spans="1:23" x14ac:dyDescent="0.2">
      <c r="A278" s="1">
        <v>276</v>
      </c>
      <c r="B278">
        <v>75060</v>
      </c>
      <c r="C278" t="s">
        <v>302</v>
      </c>
      <c r="D278" t="s">
        <v>907</v>
      </c>
      <c r="E278" t="str">
        <f>"0743287215"</f>
        <v>0743287215</v>
      </c>
      <c r="F278" t="str">
        <f>"9780743287210"</f>
        <v>9780743287210</v>
      </c>
      <c r="G278">
        <v>3</v>
      </c>
      <c r="H278">
        <v>3.67</v>
      </c>
      <c r="I278" t="s">
        <v>1226</v>
      </c>
      <c r="J278" t="s">
        <v>1507</v>
      </c>
      <c r="K278">
        <v>260</v>
      </c>
      <c r="L278">
        <v>2005</v>
      </c>
      <c r="M278">
        <v>2003</v>
      </c>
      <c r="N278" t="s">
        <v>1531</v>
      </c>
      <c r="O278" t="s">
        <v>1658</v>
      </c>
      <c r="P278" t="s">
        <v>1713</v>
      </c>
      <c r="Q278" t="s">
        <v>1726</v>
      </c>
      <c r="T278">
        <v>1</v>
      </c>
      <c r="W278">
        <v>0</v>
      </c>
    </row>
    <row r="279" spans="1:23" x14ac:dyDescent="0.2">
      <c r="A279" s="1">
        <v>277</v>
      </c>
      <c r="B279">
        <v>685244</v>
      </c>
      <c r="C279" t="s">
        <v>303</v>
      </c>
      <c r="D279" t="s">
        <v>908</v>
      </c>
      <c r="E279" t="str">
        <f>"1400041139"</f>
        <v>1400041139</v>
      </c>
      <c r="F279" t="str">
        <f>"9781400041138"</f>
        <v>9781400041138</v>
      </c>
      <c r="G279">
        <v>0</v>
      </c>
      <c r="H279">
        <v>4.4000000000000004</v>
      </c>
      <c r="I279" t="s">
        <v>1270</v>
      </c>
      <c r="J279" t="s">
        <v>1509</v>
      </c>
      <c r="K279">
        <v>208</v>
      </c>
      <c r="L279">
        <v>2003</v>
      </c>
      <c r="M279">
        <v>2003</v>
      </c>
      <c r="O279" t="s">
        <v>1531</v>
      </c>
      <c r="P279" t="s">
        <v>1711</v>
      </c>
      <c r="T279">
        <v>0</v>
      </c>
      <c r="W279">
        <v>0</v>
      </c>
    </row>
    <row r="280" spans="1:23" x14ac:dyDescent="0.2">
      <c r="A280" s="1">
        <v>278</v>
      </c>
      <c r="B280">
        <v>11107244</v>
      </c>
      <c r="C280" t="s">
        <v>304</v>
      </c>
      <c r="D280" t="s">
        <v>886</v>
      </c>
      <c r="E280" t="str">
        <f>"0670022950"</f>
        <v>0670022950</v>
      </c>
      <c r="F280" t="str">
        <f>"9780670022953"</f>
        <v>9780670022953</v>
      </c>
      <c r="G280">
        <v>0</v>
      </c>
      <c r="H280">
        <v>4.1500000000000004</v>
      </c>
      <c r="I280" t="s">
        <v>1291</v>
      </c>
      <c r="J280" t="s">
        <v>1509</v>
      </c>
      <c r="K280">
        <v>802</v>
      </c>
      <c r="L280">
        <v>2011</v>
      </c>
      <c r="M280">
        <v>2010</v>
      </c>
      <c r="O280" t="s">
        <v>1531</v>
      </c>
      <c r="P280" t="s">
        <v>1711</v>
      </c>
      <c r="T280">
        <v>0</v>
      </c>
      <c r="W280">
        <v>0</v>
      </c>
    </row>
    <row r="281" spans="1:23" x14ac:dyDescent="0.2">
      <c r="A281" s="1">
        <v>279</v>
      </c>
      <c r="B281">
        <v>40034846</v>
      </c>
      <c r="C281" t="s">
        <v>305</v>
      </c>
      <c r="D281" t="s">
        <v>909</v>
      </c>
      <c r="E281" t="str">
        <f>""</f>
        <v/>
      </c>
      <c r="F281" t="str">
        <f>""</f>
        <v/>
      </c>
      <c r="G281">
        <v>4</v>
      </c>
      <c r="H281">
        <v>4.1100000000000003</v>
      </c>
      <c r="J281" t="s">
        <v>1508</v>
      </c>
      <c r="K281">
        <v>110</v>
      </c>
      <c r="L281">
        <v>2017</v>
      </c>
      <c r="M281">
        <v>1989</v>
      </c>
      <c r="N281" t="s">
        <v>1532</v>
      </c>
      <c r="O281" t="s">
        <v>1536</v>
      </c>
      <c r="P281" t="s">
        <v>1713</v>
      </c>
      <c r="Q281" t="s">
        <v>1727</v>
      </c>
      <c r="T281">
        <v>1</v>
      </c>
      <c r="W281">
        <v>0</v>
      </c>
    </row>
    <row r="282" spans="1:23" x14ac:dyDescent="0.2">
      <c r="A282" s="1">
        <v>280</v>
      </c>
      <c r="B282">
        <v>7966160</v>
      </c>
      <c r="C282" t="s">
        <v>306</v>
      </c>
      <c r="D282" t="s">
        <v>910</v>
      </c>
      <c r="E282" t="str">
        <f>"0374278725"</f>
        <v>0374278725</v>
      </c>
      <c r="F282" t="str">
        <f>"9780374278724"</f>
        <v>9780374278724</v>
      </c>
      <c r="G282">
        <v>0</v>
      </c>
      <c r="H282">
        <v>3.9</v>
      </c>
      <c r="I282" t="s">
        <v>1346</v>
      </c>
      <c r="J282" t="s">
        <v>1509</v>
      </c>
      <c r="K282">
        <v>529</v>
      </c>
      <c r="L282">
        <v>2010</v>
      </c>
      <c r="M282">
        <v>2010</v>
      </c>
      <c r="O282" t="s">
        <v>1659</v>
      </c>
      <c r="P282" t="s">
        <v>1711</v>
      </c>
      <c r="T282">
        <v>0</v>
      </c>
      <c r="W282">
        <v>0</v>
      </c>
    </row>
    <row r="283" spans="1:23" x14ac:dyDescent="0.2">
      <c r="A283" s="1">
        <v>281</v>
      </c>
      <c r="B283">
        <v>13454654</v>
      </c>
      <c r="C283" t="s">
        <v>307</v>
      </c>
      <c r="D283" t="s">
        <v>868</v>
      </c>
      <c r="E283" t="str">
        <f>"1408818302"</f>
        <v>1408818302</v>
      </c>
      <c r="F283" t="str">
        <f>"9781408818305"</f>
        <v>9781408818305</v>
      </c>
      <c r="G283">
        <v>0</v>
      </c>
      <c r="H283">
        <v>4.3099999999999996</v>
      </c>
      <c r="I283" t="s">
        <v>1347</v>
      </c>
      <c r="J283" t="s">
        <v>1509</v>
      </c>
      <c r="K283">
        <v>515</v>
      </c>
      <c r="L283">
        <v>2013</v>
      </c>
      <c r="M283">
        <v>2013</v>
      </c>
      <c r="O283" t="s">
        <v>1639</v>
      </c>
      <c r="P283" t="s">
        <v>1711</v>
      </c>
      <c r="T283">
        <v>0</v>
      </c>
      <c r="W283">
        <v>0</v>
      </c>
    </row>
    <row r="284" spans="1:23" x14ac:dyDescent="0.2">
      <c r="A284" s="1">
        <v>282</v>
      </c>
      <c r="B284">
        <v>124430</v>
      </c>
      <c r="C284" t="s">
        <v>308</v>
      </c>
      <c r="D284" t="s">
        <v>868</v>
      </c>
      <c r="E284" t="str">
        <f>"0142001007"</f>
        <v>0142001007</v>
      </c>
      <c r="F284" t="str">
        <f>"9780142001004"</f>
        <v>9780142001004</v>
      </c>
      <c r="G284">
        <v>0</v>
      </c>
      <c r="H284">
        <v>4.0999999999999996</v>
      </c>
      <c r="I284" t="s">
        <v>1174</v>
      </c>
      <c r="J284" t="s">
        <v>1507</v>
      </c>
      <c r="K284">
        <v>352</v>
      </c>
      <c r="L284">
        <v>2003</v>
      </c>
      <c r="M284">
        <v>1993</v>
      </c>
      <c r="O284" t="s">
        <v>1639</v>
      </c>
      <c r="P284" t="s">
        <v>1711</v>
      </c>
      <c r="T284">
        <v>0</v>
      </c>
      <c r="W284">
        <v>0</v>
      </c>
    </row>
    <row r="285" spans="1:23" x14ac:dyDescent="0.2">
      <c r="A285" s="1">
        <v>283</v>
      </c>
      <c r="B285">
        <v>18373</v>
      </c>
      <c r="C285" t="s">
        <v>309</v>
      </c>
      <c r="D285" t="s">
        <v>911</v>
      </c>
      <c r="E285" t="str">
        <f>""</f>
        <v/>
      </c>
      <c r="F285" t="str">
        <f>""</f>
        <v/>
      </c>
      <c r="G285">
        <v>4</v>
      </c>
      <c r="H285">
        <v>4.1399999999999997</v>
      </c>
      <c r="I285" t="s">
        <v>1348</v>
      </c>
      <c r="J285" t="s">
        <v>1507</v>
      </c>
      <c r="K285">
        <v>311</v>
      </c>
      <c r="L285">
        <v>2005</v>
      </c>
      <c r="M285">
        <v>1959</v>
      </c>
      <c r="N285" t="s">
        <v>1533</v>
      </c>
      <c r="O285" t="s">
        <v>1597</v>
      </c>
      <c r="P285" t="s">
        <v>1713</v>
      </c>
      <c r="Q285" t="s">
        <v>1728</v>
      </c>
      <c r="T285">
        <v>1</v>
      </c>
      <c r="W285">
        <v>0</v>
      </c>
    </row>
    <row r="286" spans="1:23" x14ac:dyDescent="0.2">
      <c r="A286" s="1">
        <v>284</v>
      </c>
      <c r="B286">
        <v>231804</v>
      </c>
      <c r="C286" t="s">
        <v>310</v>
      </c>
      <c r="D286" t="s">
        <v>912</v>
      </c>
      <c r="E286" t="str">
        <f>""</f>
        <v/>
      </c>
      <c r="F286" t="str">
        <f>""</f>
        <v/>
      </c>
      <c r="G286">
        <v>0</v>
      </c>
      <c r="H286">
        <v>4.0999999999999996</v>
      </c>
      <c r="I286" t="s">
        <v>1349</v>
      </c>
      <c r="J286" t="s">
        <v>1510</v>
      </c>
      <c r="K286">
        <v>192</v>
      </c>
      <c r="L286">
        <v>1997</v>
      </c>
      <c r="M286">
        <v>1967</v>
      </c>
      <c r="O286" t="s">
        <v>1533</v>
      </c>
      <c r="P286" t="s">
        <v>1713</v>
      </c>
      <c r="T286">
        <v>1</v>
      </c>
      <c r="W286">
        <v>0</v>
      </c>
    </row>
    <row r="287" spans="1:23" x14ac:dyDescent="0.2">
      <c r="A287" s="1">
        <v>285</v>
      </c>
      <c r="B287">
        <v>14895</v>
      </c>
      <c r="C287" t="s">
        <v>311</v>
      </c>
      <c r="D287" t="s">
        <v>913</v>
      </c>
      <c r="E287" t="str">
        <f>"0140266747"</f>
        <v>0140266747</v>
      </c>
      <c r="F287" t="str">
        <f>"9780140266740"</f>
        <v>9780140266740</v>
      </c>
      <c r="G287">
        <v>0</v>
      </c>
      <c r="H287">
        <v>4.0199999999999996</v>
      </c>
      <c r="I287" t="s">
        <v>1174</v>
      </c>
      <c r="J287" t="s">
        <v>1507</v>
      </c>
      <c r="K287">
        <v>288</v>
      </c>
      <c r="L287">
        <v>1997</v>
      </c>
      <c r="M287">
        <v>1969</v>
      </c>
      <c r="O287" t="s">
        <v>1533</v>
      </c>
      <c r="P287" t="s">
        <v>1711</v>
      </c>
      <c r="T287">
        <v>0</v>
      </c>
      <c r="W287">
        <v>0</v>
      </c>
    </row>
    <row r="288" spans="1:23" x14ac:dyDescent="0.2">
      <c r="A288" s="1">
        <v>286</v>
      </c>
      <c r="B288">
        <v>150437</v>
      </c>
      <c r="C288" t="s">
        <v>312</v>
      </c>
      <c r="D288" t="s">
        <v>914</v>
      </c>
      <c r="E288" t="str">
        <f>"0691121354"</f>
        <v>0691121354</v>
      </c>
      <c r="F288" t="str">
        <f>"9780691121352"</f>
        <v>9780691121352</v>
      </c>
      <c r="G288">
        <v>0</v>
      </c>
      <c r="H288">
        <v>3.72</v>
      </c>
      <c r="I288" t="s">
        <v>1324</v>
      </c>
      <c r="J288" t="s">
        <v>1509</v>
      </c>
      <c r="K288">
        <v>420</v>
      </c>
      <c r="L288">
        <v>2007</v>
      </c>
      <c r="M288">
        <v>2007</v>
      </c>
      <c r="O288" t="s">
        <v>1534</v>
      </c>
      <c r="P288" t="s">
        <v>1711</v>
      </c>
      <c r="T288">
        <v>0</v>
      </c>
      <c r="W288">
        <v>0</v>
      </c>
    </row>
    <row r="289" spans="1:23" x14ac:dyDescent="0.2">
      <c r="A289" s="1">
        <v>287</v>
      </c>
      <c r="B289">
        <v>60044</v>
      </c>
      <c r="C289" t="s">
        <v>313</v>
      </c>
      <c r="D289" t="s">
        <v>915</v>
      </c>
      <c r="E289" t="str">
        <f>"0671792253"</f>
        <v>0671792253</v>
      </c>
      <c r="F289" t="str">
        <f>"9780671792251"</f>
        <v>9780671792251</v>
      </c>
      <c r="G289">
        <v>1</v>
      </c>
      <c r="H289">
        <v>3.94</v>
      </c>
      <c r="I289" t="s">
        <v>1350</v>
      </c>
      <c r="J289" t="s">
        <v>1507</v>
      </c>
      <c r="K289">
        <v>208</v>
      </c>
      <c r="L289">
        <v>1992</v>
      </c>
      <c r="M289">
        <v>1983</v>
      </c>
      <c r="N289" t="s">
        <v>1534</v>
      </c>
      <c r="O289" t="s">
        <v>1660</v>
      </c>
      <c r="P289" t="s">
        <v>1713</v>
      </c>
      <c r="Q289" t="s">
        <v>1729</v>
      </c>
      <c r="T289">
        <v>1</v>
      </c>
      <c r="W289">
        <v>0</v>
      </c>
    </row>
    <row r="290" spans="1:23" x14ac:dyDescent="0.2">
      <c r="A290" s="1">
        <v>288</v>
      </c>
      <c r="B290">
        <v>25131230</v>
      </c>
      <c r="C290" t="s">
        <v>314</v>
      </c>
      <c r="D290" t="s">
        <v>853</v>
      </c>
      <c r="E290" t="str">
        <f>"1939311152"</f>
        <v>1939311152</v>
      </c>
      <c r="F290" t="str">
        <f>"9781939311153"</f>
        <v>9781939311153</v>
      </c>
      <c r="G290">
        <v>0</v>
      </c>
      <c r="H290">
        <v>4.3600000000000003</v>
      </c>
      <c r="I290" t="s">
        <v>1351</v>
      </c>
      <c r="J290" t="s">
        <v>1511</v>
      </c>
      <c r="K290">
        <v>1813</v>
      </c>
      <c r="L290">
        <v>2015</v>
      </c>
      <c r="M290">
        <v>2015</v>
      </c>
      <c r="O290" t="s">
        <v>1532</v>
      </c>
      <c r="P290" t="s">
        <v>1712</v>
      </c>
      <c r="T290">
        <v>1</v>
      </c>
      <c r="W290">
        <v>0</v>
      </c>
    </row>
    <row r="291" spans="1:23" x14ac:dyDescent="0.2">
      <c r="A291" s="1">
        <v>289</v>
      </c>
      <c r="B291">
        <v>259028</v>
      </c>
      <c r="C291" t="s">
        <v>315</v>
      </c>
      <c r="D291" t="s">
        <v>916</v>
      </c>
      <c r="E291" t="str">
        <f>"0375725601"</f>
        <v>0375725601</v>
      </c>
      <c r="F291" t="str">
        <f>"9780375725609"</f>
        <v>9780375725609</v>
      </c>
      <c r="G291">
        <v>2</v>
      </c>
      <c r="H291">
        <v>3.99</v>
      </c>
      <c r="I291" t="s">
        <v>1253</v>
      </c>
      <c r="J291" t="s">
        <v>1507</v>
      </c>
      <c r="K291">
        <v>447</v>
      </c>
      <c r="L291">
        <v>2004</v>
      </c>
      <c r="M291">
        <v>2003</v>
      </c>
      <c r="N291" t="s">
        <v>1535</v>
      </c>
      <c r="O291" t="s">
        <v>1661</v>
      </c>
      <c r="P291" t="s">
        <v>1713</v>
      </c>
      <c r="Q291" t="s">
        <v>1730</v>
      </c>
      <c r="T291">
        <v>1</v>
      </c>
      <c r="W291">
        <v>0</v>
      </c>
    </row>
    <row r="292" spans="1:23" x14ac:dyDescent="0.2">
      <c r="A292" s="1">
        <v>290</v>
      </c>
      <c r="B292">
        <v>857770</v>
      </c>
      <c r="C292" t="s">
        <v>316</v>
      </c>
      <c r="D292" t="s">
        <v>917</v>
      </c>
      <c r="E292" t="str">
        <f>"2570435260"</f>
        <v>2570435260</v>
      </c>
      <c r="F292" t="str">
        <f>"9782570435260"</f>
        <v>9782570435260</v>
      </c>
      <c r="G292">
        <v>3</v>
      </c>
      <c r="H292">
        <v>3.51</v>
      </c>
      <c r="I292" t="s">
        <v>1352</v>
      </c>
      <c r="J292" t="s">
        <v>1509</v>
      </c>
      <c r="L292">
        <v>1995</v>
      </c>
      <c r="M292">
        <v>1994</v>
      </c>
      <c r="N292" t="s">
        <v>1536</v>
      </c>
      <c r="O292" t="s">
        <v>1535</v>
      </c>
      <c r="P292" t="s">
        <v>1713</v>
      </c>
      <c r="Q292" t="s">
        <v>1731</v>
      </c>
      <c r="T292">
        <v>1</v>
      </c>
      <c r="W292">
        <v>0</v>
      </c>
    </row>
    <row r="293" spans="1:23" x14ac:dyDescent="0.2">
      <c r="A293" s="1">
        <v>291</v>
      </c>
      <c r="B293">
        <v>34368867</v>
      </c>
      <c r="C293" t="s">
        <v>317</v>
      </c>
      <c r="D293" t="s">
        <v>918</v>
      </c>
      <c r="E293" t="str">
        <f>""</f>
        <v/>
      </c>
      <c r="F293" t="str">
        <f>""</f>
        <v/>
      </c>
      <c r="G293">
        <v>0</v>
      </c>
      <c r="H293">
        <v>4.09</v>
      </c>
      <c r="I293" t="s">
        <v>1353</v>
      </c>
      <c r="J293" t="s">
        <v>1511</v>
      </c>
      <c r="K293">
        <v>247</v>
      </c>
      <c r="L293">
        <v>2017</v>
      </c>
      <c r="O293" t="s">
        <v>1662</v>
      </c>
      <c r="P293" t="s">
        <v>1711</v>
      </c>
      <c r="T293">
        <v>0</v>
      </c>
      <c r="W293">
        <v>0</v>
      </c>
    </row>
    <row r="294" spans="1:23" x14ac:dyDescent="0.2">
      <c r="A294" s="1">
        <v>292</v>
      </c>
      <c r="B294">
        <v>802629</v>
      </c>
      <c r="C294" t="s">
        <v>318</v>
      </c>
      <c r="D294" t="s">
        <v>919</v>
      </c>
      <c r="E294" t="str">
        <f>"0471270520"</f>
        <v>0471270520</v>
      </c>
      <c r="F294" t="str">
        <f>"9780471270522"</f>
        <v>9780471270522</v>
      </c>
      <c r="G294">
        <v>4</v>
      </c>
      <c r="H294">
        <v>3.5</v>
      </c>
      <c r="I294" t="s">
        <v>1354</v>
      </c>
      <c r="J294" t="s">
        <v>1509</v>
      </c>
      <c r="K294">
        <v>536</v>
      </c>
      <c r="L294">
        <v>2003</v>
      </c>
      <c r="M294">
        <v>2005</v>
      </c>
      <c r="N294" t="s">
        <v>1537</v>
      </c>
      <c r="O294" t="s">
        <v>1663</v>
      </c>
      <c r="P294" t="s">
        <v>1713</v>
      </c>
      <c r="Q294" t="s">
        <v>1732</v>
      </c>
      <c r="T294">
        <v>1</v>
      </c>
      <c r="W294">
        <v>0</v>
      </c>
    </row>
    <row r="295" spans="1:23" x14ac:dyDescent="0.2">
      <c r="A295" s="1">
        <v>293</v>
      </c>
      <c r="B295">
        <v>210189</v>
      </c>
      <c r="C295" t="s">
        <v>319</v>
      </c>
      <c r="D295" t="s">
        <v>920</v>
      </c>
      <c r="E295" t="str">
        <f>"0226170314"</f>
        <v>0226170314</v>
      </c>
      <c r="F295" t="str">
        <f>"9780226170312"</f>
        <v>9780226170312</v>
      </c>
      <c r="G295">
        <v>0</v>
      </c>
      <c r="H295">
        <v>3.8</v>
      </c>
      <c r="I295" t="s">
        <v>1179</v>
      </c>
      <c r="J295" t="s">
        <v>1507</v>
      </c>
      <c r="K295">
        <v>200</v>
      </c>
      <c r="L295">
        <v>1994</v>
      </c>
      <c r="M295">
        <v>1992</v>
      </c>
      <c r="O295" t="s">
        <v>1536</v>
      </c>
      <c r="P295" t="s">
        <v>1711</v>
      </c>
      <c r="T295">
        <v>0</v>
      </c>
      <c r="W295">
        <v>0</v>
      </c>
    </row>
    <row r="296" spans="1:23" x14ac:dyDescent="0.2">
      <c r="A296" s="1">
        <v>294</v>
      </c>
      <c r="B296">
        <v>23847935</v>
      </c>
      <c r="C296" t="s">
        <v>320</v>
      </c>
      <c r="D296" t="s">
        <v>920</v>
      </c>
      <c r="E296" t="str">
        <f>"0374161801"</f>
        <v>0374161801</v>
      </c>
      <c r="F296" t="str">
        <f>"9780374161804"</f>
        <v>9780374161804</v>
      </c>
      <c r="G296">
        <v>0</v>
      </c>
      <c r="H296">
        <v>3.75</v>
      </c>
      <c r="I296" t="s">
        <v>1176</v>
      </c>
      <c r="J296" t="s">
        <v>1509</v>
      </c>
      <c r="K296">
        <v>304</v>
      </c>
      <c r="L296">
        <v>2016</v>
      </c>
      <c r="M296">
        <v>2015</v>
      </c>
      <c r="O296" t="s">
        <v>1536</v>
      </c>
      <c r="P296" t="s">
        <v>1711</v>
      </c>
      <c r="T296">
        <v>0</v>
      </c>
      <c r="W296">
        <v>0</v>
      </c>
    </row>
    <row r="297" spans="1:23" x14ac:dyDescent="0.2">
      <c r="A297" s="1">
        <v>295</v>
      </c>
      <c r="B297">
        <v>210188</v>
      </c>
      <c r="C297" t="s">
        <v>321</v>
      </c>
      <c r="D297" t="s">
        <v>920</v>
      </c>
      <c r="E297" t="str">
        <f>"0374527253"</f>
        <v>0374527253</v>
      </c>
      <c r="F297" t="str">
        <f>"9780374527259"</f>
        <v>9780374527259</v>
      </c>
      <c r="G297">
        <v>0</v>
      </c>
      <c r="H297">
        <v>4.12</v>
      </c>
      <c r="I297" t="s">
        <v>1176</v>
      </c>
      <c r="J297" t="s">
        <v>1507</v>
      </c>
      <c r="K297">
        <v>400</v>
      </c>
      <c r="L297">
        <v>2000</v>
      </c>
      <c r="M297">
        <v>1999</v>
      </c>
      <c r="O297" t="s">
        <v>1536</v>
      </c>
      <c r="P297" t="s">
        <v>1711</v>
      </c>
      <c r="T297">
        <v>0</v>
      </c>
      <c r="W297">
        <v>0</v>
      </c>
    </row>
    <row r="298" spans="1:23" x14ac:dyDescent="0.2">
      <c r="A298" s="1">
        <v>296</v>
      </c>
      <c r="B298">
        <v>2942</v>
      </c>
      <c r="C298" t="s">
        <v>322</v>
      </c>
      <c r="D298" t="s">
        <v>858</v>
      </c>
      <c r="E298" t="str">
        <f>"0486404889"</f>
        <v>0486404889</v>
      </c>
      <c r="F298" t="str">
        <f>"9780486404882"</f>
        <v>9780486404882</v>
      </c>
      <c r="G298">
        <v>0</v>
      </c>
      <c r="H298">
        <v>3.71</v>
      </c>
      <c r="I298" t="s">
        <v>1230</v>
      </c>
      <c r="J298" t="s">
        <v>1507</v>
      </c>
      <c r="K298">
        <v>733</v>
      </c>
      <c r="L298">
        <v>1999</v>
      </c>
      <c r="M298">
        <v>1724</v>
      </c>
      <c r="O298" t="s">
        <v>1536</v>
      </c>
      <c r="P298" t="s">
        <v>1711</v>
      </c>
      <c r="T298">
        <v>0</v>
      </c>
      <c r="W298">
        <v>0</v>
      </c>
    </row>
    <row r="299" spans="1:23" x14ac:dyDescent="0.2">
      <c r="A299" s="1">
        <v>297</v>
      </c>
      <c r="B299">
        <v>15731248</v>
      </c>
      <c r="C299" t="s">
        <v>323</v>
      </c>
      <c r="D299" t="s">
        <v>921</v>
      </c>
      <c r="E299" t="str">
        <f>""</f>
        <v/>
      </c>
      <c r="F299" t="str">
        <f>""</f>
        <v/>
      </c>
      <c r="G299">
        <v>3</v>
      </c>
      <c r="H299">
        <v>4.24</v>
      </c>
      <c r="I299" t="s">
        <v>921</v>
      </c>
      <c r="J299" t="s">
        <v>1508</v>
      </c>
      <c r="K299">
        <v>115</v>
      </c>
      <c r="L299">
        <v>2015</v>
      </c>
      <c r="M299">
        <v>2012</v>
      </c>
      <c r="N299" t="s">
        <v>1538</v>
      </c>
      <c r="O299" t="s">
        <v>1664</v>
      </c>
      <c r="P299" t="s">
        <v>1713</v>
      </c>
      <c r="Q299" t="s">
        <v>1733</v>
      </c>
      <c r="T299">
        <v>1</v>
      </c>
      <c r="W299">
        <v>0</v>
      </c>
    </row>
    <row r="300" spans="1:23" x14ac:dyDescent="0.2">
      <c r="A300" s="1">
        <v>298</v>
      </c>
      <c r="B300">
        <v>62845</v>
      </c>
      <c r="C300" t="s">
        <v>324</v>
      </c>
      <c r="D300" t="s">
        <v>922</v>
      </c>
      <c r="E300" t="str">
        <f>"159986942X"</f>
        <v>159986942X</v>
      </c>
      <c r="F300" t="str">
        <f>"9781599869421"</f>
        <v>9781599869421</v>
      </c>
      <c r="G300">
        <v>4</v>
      </c>
      <c r="H300">
        <v>3.69</v>
      </c>
      <c r="I300" t="s">
        <v>1355</v>
      </c>
      <c r="J300" t="s">
        <v>1507</v>
      </c>
      <c r="K300">
        <v>48</v>
      </c>
      <c r="L300">
        <v>2006</v>
      </c>
      <c r="M300">
        <v>1899</v>
      </c>
      <c r="N300" t="s">
        <v>1538</v>
      </c>
      <c r="O300" t="s">
        <v>1658</v>
      </c>
      <c r="P300" t="s">
        <v>1713</v>
      </c>
      <c r="Q300" t="s">
        <v>1734</v>
      </c>
      <c r="T300">
        <v>1</v>
      </c>
      <c r="W300">
        <v>0</v>
      </c>
    </row>
    <row r="301" spans="1:23" x14ac:dyDescent="0.2">
      <c r="A301" s="1">
        <v>299</v>
      </c>
      <c r="B301">
        <v>8856965</v>
      </c>
      <c r="C301" t="s">
        <v>325</v>
      </c>
      <c r="D301" t="s">
        <v>923</v>
      </c>
      <c r="E301" t="str">
        <f>"0805074600"</f>
        <v>0805074600</v>
      </c>
      <c r="F301" t="str">
        <f>"9780805074604"</f>
        <v>9780805074604</v>
      </c>
      <c r="G301">
        <v>0</v>
      </c>
      <c r="H301">
        <v>4.05</v>
      </c>
      <c r="I301" t="s">
        <v>1237</v>
      </c>
      <c r="J301" t="s">
        <v>1509</v>
      </c>
      <c r="K301">
        <v>575</v>
      </c>
      <c r="L301">
        <v>2011</v>
      </c>
      <c r="M301">
        <v>2010</v>
      </c>
      <c r="O301" t="s">
        <v>1535</v>
      </c>
      <c r="P301" t="s">
        <v>1711</v>
      </c>
      <c r="T301">
        <v>0</v>
      </c>
      <c r="W301">
        <v>0</v>
      </c>
    </row>
    <row r="302" spans="1:23" x14ac:dyDescent="0.2">
      <c r="A302" s="1">
        <v>300</v>
      </c>
      <c r="B302">
        <v>20941</v>
      </c>
      <c r="C302" t="s">
        <v>326</v>
      </c>
      <c r="D302" t="s">
        <v>924</v>
      </c>
      <c r="E302" t="str">
        <f>"1573225142"</f>
        <v>1573225142</v>
      </c>
      <c r="F302" t="str">
        <f>"9781573225144"</f>
        <v>9781573225144</v>
      </c>
      <c r="G302">
        <v>0</v>
      </c>
      <c r="H302">
        <v>3.86</v>
      </c>
      <c r="I302" t="s">
        <v>1204</v>
      </c>
      <c r="J302" t="s">
        <v>1507</v>
      </c>
      <c r="K302">
        <v>546</v>
      </c>
      <c r="L302">
        <v>1995</v>
      </c>
      <c r="M302">
        <v>1994</v>
      </c>
      <c r="O302" t="s">
        <v>1524</v>
      </c>
      <c r="P302" t="s">
        <v>1711</v>
      </c>
      <c r="T302">
        <v>0</v>
      </c>
      <c r="W302">
        <v>0</v>
      </c>
    </row>
    <row r="303" spans="1:23" x14ac:dyDescent="0.2">
      <c r="A303" s="1">
        <v>301</v>
      </c>
      <c r="B303">
        <v>36739320</v>
      </c>
      <c r="C303" t="s">
        <v>327</v>
      </c>
      <c r="D303" t="s">
        <v>925</v>
      </c>
      <c r="E303" t="str">
        <f>"0735210934"</f>
        <v>0735210934</v>
      </c>
      <c r="F303" t="str">
        <f>"9780735210936"</f>
        <v>9780735210936</v>
      </c>
      <c r="G303">
        <v>0</v>
      </c>
      <c r="H303">
        <v>4.0599999999999996</v>
      </c>
      <c r="I303" t="s">
        <v>1204</v>
      </c>
      <c r="J303" t="s">
        <v>1509</v>
      </c>
      <c r="K303">
        <v>327</v>
      </c>
      <c r="L303">
        <v>2019</v>
      </c>
      <c r="M303">
        <v>2019</v>
      </c>
      <c r="O303" t="s">
        <v>1524</v>
      </c>
      <c r="P303" t="s">
        <v>1711</v>
      </c>
      <c r="T303">
        <v>0</v>
      </c>
      <c r="W303">
        <v>0</v>
      </c>
    </row>
    <row r="304" spans="1:23" x14ac:dyDescent="0.2">
      <c r="A304" s="1">
        <v>302</v>
      </c>
      <c r="B304">
        <v>51338665</v>
      </c>
      <c r="C304" t="s">
        <v>328</v>
      </c>
      <c r="D304" t="s">
        <v>926</v>
      </c>
      <c r="E304" t="str">
        <f>"031653353X"</f>
        <v>031653353X</v>
      </c>
      <c r="F304" t="str">
        <f>"9780316533539"</f>
        <v>9780316533539</v>
      </c>
      <c r="G304">
        <v>0</v>
      </c>
      <c r="H304">
        <v>4.13</v>
      </c>
      <c r="I304" t="s">
        <v>1356</v>
      </c>
      <c r="J304" t="s">
        <v>1509</v>
      </c>
      <c r="K304">
        <v>304</v>
      </c>
      <c r="L304">
        <v>2020</v>
      </c>
      <c r="O304" t="s">
        <v>1524</v>
      </c>
      <c r="P304" t="s">
        <v>1711</v>
      </c>
      <c r="T304">
        <v>0</v>
      </c>
      <c r="W304">
        <v>0</v>
      </c>
    </row>
    <row r="305" spans="1:23" x14ac:dyDescent="0.2">
      <c r="A305" s="1">
        <v>303</v>
      </c>
      <c r="B305">
        <v>52315827</v>
      </c>
      <c r="C305" t="s">
        <v>329</v>
      </c>
      <c r="D305" t="s">
        <v>927</v>
      </c>
      <c r="E305" t="str">
        <f>"1608686604"</f>
        <v>1608686604</v>
      </c>
      <c r="F305" t="str">
        <f>"9781608686605"</f>
        <v>9781608686605</v>
      </c>
      <c r="G305">
        <v>0</v>
      </c>
      <c r="H305">
        <v>4.2</v>
      </c>
      <c r="J305" t="s">
        <v>1507</v>
      </c>
      <c r="L305">
        <v>2020</v>
      </c>
      <c r="M305">
        <v>2020</v>
      </c>
      <c r="O305" t="s">
        <v>1665</v>
      </c>
      <c r="P305" t="s">
        <v>1711</v>
      </c>
      <c r="T305">
        <v>0</v>
      </c>
      <c r="W305">
        <v>0</v>
      </c>
    </row>
    <row r="306" spans="1:23" x14ac:dyDescent="0.2">
      <c r="A306" s="1">
        <v>304</v>
      </c>
      <c r="B306">
        <v>38276</v>
      </c>
      <c r="C306" t="s">
        <v>330</v>
      </c>
      <c r="D306" t="s">
        <v>928</v>
      </c>
      <c r="E306" t="str">
        <f>"0140097015"</f>
        <v>0140097015</v>
      </c>
      <c r="F306" t="str">
        <f>"9780140097016"</f>
        <v>9780140097016</v>
      </c>
      <c r="G306">
        <v>0</v>
      </c>
      <c r="H306">
        <v>4.07</v>
      </c>
      <c r="I306" t="s">
        <v>1174</v>
      </c>
      <c r="J306" t="s">
        <v>1514</v>
      </c>
      <c r="K306">
        <v>304</v>
      </c>
      <c r="L306">
        <v>1988</v>
      </c>
      <c r="M306">
        <v>1987</v>
      </c>
      <c r="O306" t="s">
        <v>1666</v>
      </c>
      <c r="P306" t="s">
        <v>1711</v>
      </c>
      <c r="T306">
        <v>0</v>
      </c>
      <c r="W306">
        <v>0</v>
      </c>
    </row>
    <row r="307" spans="1:23" x14ac:dyDescent="0.2">
      <c r="A307" s="1">
        <v>305</v>
      </c>
      <c r="B307">
        <v>122008</v>
      </c>
      <c r="C307" t="s">
        <v>331</v>
      </c>
      <c r="D307" t="s">
        <v>929</v>
      </c>
      <c r="E307" t="str">
        <f>"0898866545"</f>
        <v>0898866545</v>
      </c>
      <c r="F307" t="str">
        <f>"9780898866544"</f>
        <v>9780898866544</v>
      </c>
      <c r="G307">
        <v>0</v>
      </c>
      <c r="H307">
        <v>4.3</v>
      </c>
      <c r="I307" t="s">
        <v>1357</v>
      </c>
      <c r="J307" t="s">
        <v>1507</v>
      </c>
      <c r="K307">
        <v>240</v>
      </c>
      <c r="L307">
        <v>1999</v>
      </c>
      <c r="M307">
        <v>1999</v>
      </c>
      <c r="O307" t="s">
        <v>1667</v>
      </c>
      <c r="P307" t="s">
        <v>1711</v>
      </c>
      <c r="T307">
        <v>0</v>
      </c>
      <c r="W307">
        <v>0</v>
      </c>
    </row>
    <row r="308" spans="1:23" x14ac:dyDescent="0.2">
      <c r="A308" s="1">
        <v>306</v>
      </c>
      <c r="B308">
        <v>23358414</v>
      </c>
      <c r="C308" t="s">
        <v>332</v>
      </c>
      <c r="D308" t="s">
        <v>930</v>
      </c>
      <c r="E308" t="str">
        <f>""</f>
        <v/>
      </c>
      <c r="F308" t="str">
        <f>""</f>
        <v/>
      </c>
      <c r="G308">
        <v>0</v>
      </c>
      <c r="H308">
        <v>4.3499999999999996</v>
      </c>
      <c r="I308" t="s">
        <v>1358</v>
      </c>
      <c r="J308" t="s">
        <v>1511</v>
      </c>
      <c r="K308">
        <v>446</v>
      </c>
      <c r="L308">
        <v>2014</v>
      </c>
      <c r="M308">
        <v>2014</v>
      </c>
      <c r="O308" t="s">
        <v>1667</v>
      </c>
      <c r="P308" t="s">
        <v>1711</v>
      </c>
      <c r="T308">
        <v>0</v>
      </c>
      <c r="W308">
        <v>0</v>
      </c>
    </row>
    <row r="309" spans="1:23" x14ac:dyDescent="0.2">
      <c r="A309" s="1">
        <v>307</v>
      </c>
      <c r="B309">
        <v>750664</v>
      </c>
      <c r="C309" t="s">
        <v>333</v>
      </c>
      <c r="D309" t="s">
        <v>931</v>
      </c>
      <c r="E309" t="str">
        <f>"0140174230"</f>
        <v>0140174230</v>
      </c>
      <c r="F309" t="str">
        <f>"9780140174236"</f>
        <v>9780140174236</v>
      </c>
      <c r="G309">
        <v>0</v>
      </c>
      <c r="H309">
        <v>3.89</v>
      </c>
      <c r="I309" t="s">
        <v>1359</v>
      </c>
      <c r="J309" t="s">
        <v>1507</v>
      </c>
      <c r="K309">
        <v>384</v>
      </c>
      <c r="L309">
        <v>1995</v>
      </c>
      <c r="M309">
        <v>1992</v>
      </c>
      <c r="O309" t="s">
        <v>1668</v>
      </c>
      <c r="P309" t="s">
        <v>1711</v>
      </c>
      <c r="T309">
        <v>0</v>
      </c>
      <c r="W309">
        <v>0</v>
      </c>
    </row>
    <row r="310" spans="1:23" x14ac:dyDescent="0.2">
      <c r="A310" s="1">
        <v>308</v>
      </c>
      <c r="B310">
        <v>149789</v>
      </c>
      <c r="C310" t="s">
        <v>334</v>
      </c>
      <c r="D310" t="s">
        <v>932</v>
      </c>
      <c r="E310" t="str">
        <f>"0140437525"</f>
        <v>0140437525</v>
      </c>
      <c r="F310" t="str">
        <f>"9780140437522"</f>
        <v>9780140437522</v>
      </c>
      <c r="G310">
        <v>0</v>
      </c>
      <c r="H310">
        <v>4.16</v>
      </c>
      <c r="I310" t="s">
        <v>1174</v>
      </c>
      <c r="J310" t="s">
        <v>1507</v>
      </c>
      <c r="K310">
        <v>890</v>
      </c>
      <c r="L310">
        <v>2002</v>
      </c>
      <c r="M310">
        <v>1867</v>
      </c>
      <c r="O310" t="s">
        <v>1597</v>
      </c>
      <c r="P310" t="s">
        <v>1711</v>
      </c>
      <c r="T310">
        <v>0</v>
      </c>
      <c r="W310">
        <v>0</v>
      </c>
    </row>
    <row r="311" spans="1:23" x14ac:dyDescent="0.2">
      <c r="A311" s="1">
        <v>309</v>
      </c>
      <c r="B311">
        <v>144463</v>
      </c>
      <c r="C311" t="s">
        <v>335</v>
      </c>
      <c r="D311" t="s">
        <v>932</v>
      </c>
      <c r="E311" t="str">
        <f>"0140433252"</f>
        <v>0140433252</v>
      </c>
      <c r="F311" t="str">
        <f>"9780140433258"</f>
        <v>9780140433258</v>
      </c>
      <c r="G311">
        <v>0</v>
      </c>
      <c r="H311">
        <v>4.04</v>
      </c>
      <c r="I311" t="s">
        <v>1213</v>
      </c>
      <c r="J311" t="s">
        <v>1507</v>
      </c>
      <c r="K311">
        <v>695</v>
      </c>
      <c r="L311">
        <v>1991</v>
      </c>
      <c r="M311">
        <v>1864</v>
      </c>
      <c r="O311" t="s">
        <v>1597</v>
      </c>
      <c r="P311" t="s">
        <v>1711</v>
      </c>
      <c r="T311">
        <v>0</v>
      </c>
      <c r="W311">
        <v>0</v>
      </c>
    </row>
    <row r="312" spans="1:23" x14ac:dyDescent="0.2">
      <c r="A312" s="1">
        <v>310</v>
      </c>
      <c r="B312">
        <v>267102</v>
      </c>
      <c r="C312" t="s">
        <v>336</v>
      </c>
      <c r="D312" t="s">
        <v>932</v>
      </c>
      <c r="E312" t="str">
        <f>"1406954098"</f>
        <v>1406954098</v>
      </c>
      <c r="F312" t="str">
        <f>"9781406954098"</f>
        <v>9781406954098</v>
      </c>
      <c r="G312">
        <v>0</v>
      </c>
      <c r="H312">
        <v>4.03</v>
      </c>
      <c r="I312" t="s">
        <v>1360</v>
      </c>
      <c r="J312" t="s">
        <v>1507</v>
      </c>
      <c r="K312">
        <v>573</v>
      </c>
      <c r="L312">
        <v>2006</v>
      </c>
      <c r="M312">
        <v>1860</v>
      </c>
      <c r="O312" t="s">
        <v>1597</v>
      </c>
      <c r="P312" t="s">
        <v>1711</v>
      </c>
      <c r="T312">
        <v>0</v>
      </c>
      <c r="W312">
        <v>0</v>
      </c>
    </row>
    <row r="313" spans="1:23" x14ac:dyDescent="0.2">
      <c r="A313" s="1">
        <v>311</v>
      </c>
      <c r="B313">
        <v>414295</v>
      </c>
      <c r="C313" t="s">
        <v>337</v>
      </c>
      <c r="D313" t="s">
        <v>932</v>
      </c>
      <c r="E313" t="str">
        <f>"0140433260"</f>
        <v>0140433260</v>
      </c>
      <c r="F313" t="str">
        <f>"9780140433265"</f>
        <v>9780140433265</v>
      </c>
      <c r="G313">
        <v>0</v>
      </c>
      <c r="H313">
        <v>4.1100000000000003</v>
      </c>
      <c r="I313" t="s">
        <v>1174</v>
      </c>
      <c r="J313" t="s">
        <v>1507</v>
      </c>
      <c r="K313">
        <v>557</v>
      </c>
      <c r="L313">
        <v>1991</v>
      </c>
      <c r="M313">
        <v>1858</v>
      </c>
      <c r="O313" t="s">
        <v>1597</v>
      </c>
      <c r="P313" t="s">
        <v>1711</v>
      </c>
      <c r="T313">
        <v>0</v>
      </c>
      <c r="W313">
        <v>0</v>
      </c>
    </row>
    <row r="314" spans="1:23" x14ac:dyDescent="0.2">
      <c r="A314" s="1">
        <v>312</v>
      </c>
      <c r="B314">
        <v>267123</v>
      </c>
      <c r="C314" t="s">
        <v>338</v>
      </c>
      <c r="D314" t="s">
        <v>932</v>
      </c>
      <c r="E314" t="str">
        <f>"0192834088"</f>
        <v>0192834088</v>
      </c>
      <c r="F314" t="str">
        <f>"9780192834089"</f>
        <v>9780192834089</v>
      </c>
      <c r="G314">
        <v>0</v>
      </c>
      <c r="H314">
        <v>3.73</v>
      </c>
      <c r="I314" t="s">
        <v>1361</v>
      </c>
      <c r="J314" t="s">
        <v>1507</v>
      </c>
      <c r="K314">
        <v>336</v>
      </c>
      <c r="L314">
        <v>1998</v>
      </c>
      <c r="M314">
        <v>1855</v>
      </c>
      <c r="O314" t="s">
        <v>1597</v>
      </c>
      <c r="P314" t="s">
        <v>1711</v>
      </c>
      <c r="T314">
        <v>0</v>
      </c>
      <c r="W314">
        <v>0</v>
      </c>
    </row>
    <row r="315" spans="1:23" x14ac:dyDescent="0.2">
      <c r="A315" s="1">
        <v>313</v>
      </c>
      <c r="B315">
        <v>125321</v>
      </c>
      <c r="C315" t="s">
        <v>339</v>
      </c>
      <c r="D315" t="s">
        <v>932</v>
      </c>
      <c r="E315" t="str">
        <f>"1406923044"</f>
        <v>1406923044</v>
      </c>
      <c r="F315" t="str">
        <f>"9781406923049"</f>
        <v>9781406923049</v>
      </c>
      <c r="G315">
        <v>0</v>
      </c>
      <c r="H315">
        <v>4.0199999999999996</v>
      </c>
      <c r="I315" t="s">
        <v>1361</v>
      </c>
      <c r="J315" t="s">
        <v>1507</v>
      </c>
      <c r="K315">
        <v>418</v>
      </c>
      <c r="L315">
        <v>2006</v>
      </c>
      <c r="M315">
        <v>1857</v>
      </c>
      <c r="O315" t="s">
        <v>1597</v>
      </c>
      <c r="P315" t="s">
        <v>1711</v>
      </c>
      <c r="T315">
        <v>0</v>
      </c>
      <c r="W315">
        <v>0</v>
      </c>
    </row>
    <row r="316" spans="1:23" x14ac:dyDescent="0.2">
      <c r="A316" s="1">
        <v>314</v>
      </c>
      <c r="B316">
        <v>12898</v>
      </c>
      <c r="C316" t="s">
        <v>340</v>
      </c>
      <c r="D316" t="s">
        <v>933</v>
      </c>
      <c r="E316" t="str">
        <f>"0435233076"</f>
        <v>0435233076</v>
      </c>
      <c r="F316" t="str">
        <f>"9780435233075"</f>
        <v>9780435233075</v>
      </c>
      <c r="G316">
        <v>0</v>
      </c>
      <c r="H316">
        <v>3.53</v>
      </c>
      <c r="I316" t="s">
        <v>1362</v>
      </c>
      <c r="J316" t="s">
        <v>1509</v>
      </c>
      <c r="K316">
        <v>117</v>
      </c>
      <c r="L316">
        <v>1994</v>
      </c>
      <c r="M316">
        <v>1949</v>
      </c>
      <c r="O316" t="s">
        <v>1597</v>
      </c>
      <c r="P316" t="s">
        <v>1713</v>
      </c>
      <c r="T316">
        <v>1</v>
      </c>
      <c r="W316">
        <v>0</v>
      </c>
    </row>
    <row r="317" spans="1:23" x14ac:dyDescent="0.2">
      <c r="A317" s="1">
        <v>315</v>
      </c>
      <c r="B317">
        <v>12957</v>
      </c>
      <c r="C317" t="s">
        <v>341</v>
      </c>
      <c r="D317" t="s">
        <v>934</v>
      </c>
      <c r="E317" t="str">
        <f>"0743482751"</f>
        <v>0743482751</v>
      </c>
      <c r="F317" t="str">
        <f>"9780743482752"</f>
        <v>9780743482752</v>
      </c>
      <c r="G317">
        <v>0</v>
      </c>
      <c r="H317">
        <v>4.0599999999999996</v>
      </c>
      <c r="I317" t="s">
        <v>1284</v>
      </c>
      <c r="J317" t="s">
        <v>1507</v>
      </c>
      <c r="K317">
        <v>246</v>
      </c>
      <c r="L317">
        <v>2004</v>
      </c>
      <c r="M317">
        <v>1598</v>
      </c>
      <c r="O317" t="s">
        <v>1597</v>
      </c>
      <c r="P317" t="s">
        <v>1713</v>
      </c>
      <c r="T317">
        <v>1</v>
      </c>
      <c r="W317">
        <v>0</v>
      </c>
    </row>
    <row r="318" spans="1:23" x14ac:dyDescent="0.2">
      <c r="A318" s="1">
        <v>316</v>
      </c>
      <c r="B318">
        <v>17250</v>
      </c>
      <c r="C318" t="s">
        <v>342</v>
      </c>
      <c r="D318" t="s">
        <v>933</v>
      </c>
      <c r="E318" t="str">
        <f>"0142437336"</f>
        <v>0142437336</v>
      </c>
      <c r="F318" t="str">
        <f>"9780142437339"</f>
        <v>9780142437339</v>
      </c>
      <c r="G318">
        <v>0</v>
      </c>
      <c r="H318">
        <v>3.59</v>
      </c>
      <c r="I318" t="s">
        <v>1174</v>
      </c>
      <c r="J318" t="s">
        <v>1507</v>
      </c>
      <c r="K318">
        <v>143</v>
      </c>
      <c r="L318">
        <v>2003</v>
      </c>
      <c r="M318">
        <v>1953</v>
      </c>
      <c r="O318" t="s">
        <v>1597</v>
      </c>
      <c r="P318" t="s">
        <v>1713</v>
      </c>
      <c r="T318">
        <v>1</v>
      </c>
      <c r="W318">
        <v>0</v>
      </c>
    </row>
    <row r="319" spans="1:23" x14ac:dyDescent="0.2">
      <c r="A319" s="1">
        <v>317</v>
      </c>
      <c r="B319">
        <v>485894</v>
      </c>
      <c r="C319" t="s">
        <v>343</v>
      </c>
      <c r="D319" t="s">
        <v>778</v>
      </c>
      <c r="E319" t="str">
        <f>""</f>
        <v/>
      </c>
      <c r="F319" t="str">
        <f>""</f>
        <v/>
      </c>
      <c r="G319">
        <v>0</v>
      </c>
      <c r="H319">
        <v>3.82</v>
      </c>
      <c r="I319" t="s">
        <v>1263</v>
      </c>
      <c r="J319" t="s">
        <v>1507</v>
      </c>
      <c r="K319">
        <v>201</v>
      </c>
      <c r="L319">
        <v>1972</v>
      </c>
      <c r="M319">
        <v>1915</v>
      </c>
      <c r="O319" t="s">
        <v>1597</v>
      </c>
      <c r="P319" t="s">
        <v>1711</v>
      </c>
      <c r="T319">
        <v>0</v>
      </c>
      <c r="W319">
        <v>0</v>
      </c>
    </row>
    <row r="320" spans="1:23" x14ac:dyDescent="0.2">
      <c r="A320" s="1">
        <v>318</v>
      </c>
      <c r="B320">
        <v>8852</v>
      </c>
      <c r="C320" t="s">
        <v>344</v>
      </c>
      <c r="D320" t="s">
        <v>934</v>
      </c>
      <c r="E320" t="str">
        <f>"0743477103"</f>
        <v>0743477103</v>
      </c>
      <c r="F320" t="str">
        <f>"9780743477109"</f>
        <v>9780743477109</v>
      </c>
      <c r="G320">
        <v>0</v>
      </c>
      <c r="H320">
        <v>3.91</v>
      </c>
      <c r="I320" t="s">
        <v>1284</v>
      </c>
      <c r="J320" t="s">
        <v>1507</v>
      </c>
      <c r="K320">
        <v>249</v>
      </c>
      <c r="L320">
        <v>2013</v>
      </c>
      <c r="M320">
        <v>1606</v>
      </c>
      <c r="O320" t="s">
        <v>1597</v>
      </c>
      <c r="P320" t="s">
        <v>1713</v>
      </c>
      <c r="T320">
        <v>1</v>
      </c>
      <c r="W320">
        <v>0</v>
      </c>
    </row>
    <row r="321" spans="1:23" x14ac:dyDescent="0.2">
      <c r="A321" s="1">
        <v>319</v>
      </c>
      <c r="B321">
        <v>18135</v>
      </c>
      <c r="C321" t="s">
        <v>345</v>
      </c>
      <c r="D321" t="s">
        <v>934</v>
      </c>
      <c r="E321" t="str">
        <f>"0743477111"</f>
        <v>0743477111</v>
      </c>
      <c r="F321" t="str">
        <f>"9780743477116"</f>
        <v>9780743477116</v>
      </c>
      <c r="G321">
        <v>0</v>
      </c>
      <c r="H321">
        <v>3.75</v>
      </c>
      <c r="I321" t="s">
        <v>1363</v>
      </c>
      <c r="J321" t="s">
        <v>1507</v>
      </c>
      <c r="K321">
        <v>301</v>
      </c>
      <c r="L321">
        <v>2004</v>
      </c>
      <c r="M321">
        <v>1595</v>
      </c>
      <c r="O321" t="s">
        <v>1597</v>
      </c>
      <c r="P321" t="s">
        <v>1713</v>
      </c>
      <c r="T321">
        <v>1</v>
      </c>
      <c r="W321">
        <v>0</v>
      </c>
    </row>
    <row r="322" spans="1:23" x14ac:dyDescent="0.2">
      <c r="A322" s="1">
        <v>320</v>
      </c>
      <c r="B322">
        <v>10884</v>
      </c>
      <c r="C322" t="s">
        <v>346</v>
      </c>
      <c r="D322" t="s">
        <v>935</v>
      </c>
      <c r="E322" t="str">
        <f>"0743264738"</f>
        <v>0743264738</v>
      </c>
      <c r="F322" t="str">
        <f>"9780743264730"</f>
        <v>9780743264730</v>
      </c>
      <c r="G322">
        <v>0</v>
      </c>
      <c r="H322">
        <v>4.12</v>
      </c>
      <c r="I322" t="s">
        <v>1284</v>
      </c>
      <c r="J322" t="s">
        <v>1509</v>
      </c>
      <c r="K322">
        <v>675</v>
      </c>
      <c r="L322">
        <v>2007</v>
      </c>
      <c r="M322">
        <v>2007</v>
      </c>
      <c r="O322" t="s">
        <v>1669</v>
      </c>
      <c r="P322" t="s">
        <v>1711</v>
      </c>
      <c r="T322">
        <v>0</v>
      </c>
      <c r="W322">
        <v>0</v>
      </c>
    </row>
    <row r="323" spans="1:23" x14ac:dyDescent="0.2">
      <c r="A323" s="1">
        <v>321</v>
      </c>
      <c r="B323">
        <v>11084145</v>
      </c>
      <c r="C323" t="s">
        <v>347</v>
      </c>
      <c r="D323" t="s">
        <v>935</v>
      </c>
      <c r="E323" t="str">
        <f>"1451648537"</f>
        <v>1451648537</v>
      </c>
      <c r="F323" t="str">
        <f>"9781451648539"</f>
        <v>9781451648539</v>
      </c>
      <c r="G323">
        <v>0</v>
      </c>
      <c r="H323">
        <v>4.1399999999999997</v>
      </c>
      <c r="I323" t="s">
        <v>1245</v>
      </c>
      <c r="J323" t="s">
        <v>1509</v>
      </c>
      <c r="K323">
        <v>627</v>
      </c>
      <c r="L323">
        <v>2011</v>
      </c>
      <c r="M323">
        <v>2011</v>
      </c>
      <c r="O323" t="s">
        <v>1669</v>
      </c>
      <c r="P323" t="s">
        <v>1711</v>
      </c>
      <c r="T323">
        <v>0</v>
      </c>
      <c r="W323">
        <v>0</v>
      </c>
    </row>
    <row r="324" spans="1:23" x14ac:dyDescent="0.2">
      <c r="A324" s="1">
        <v>322</v>
      </c>
      <c r="B324">
        <v>5934152</v>
      </c>
      <c r="C324" t="s">
        <v>348</v>
      </c>
      <c r="D324" t="s">
        <v>936</v>
      </c>
      <c r="E324" t="str">
        <f>""</f>
        <v/>
      </c>
      <c r="F324" t="str">
        <f>""</f>
        <v/>
      </c>
      <c r="G324">
        <v>3</v>
      </c>
      <c r="H324">
        <v>4.28</v>
      </c>
      <c r="I324" t="s">
        <v>1364</v>
      </c>
      <c r="J324" t="s">
        <v>1509</v>
      </c>
      <c r="K324">
        <v>266</v>
      </c>
      <c r="L324">
        <v>1953</v>
      </c>
      <c r="M324">
        <v>1953</v>
      </c>
      <c r="N324" t="s">
        <v>1539</v>
      </c>
      <c r="O324" t="s">
        <v>1670</v>
      </c>
      <c r="P324" t="s">
        <v>1713</v>
      </c>
      <c r="Q324" t="s">
        <v>1735</v>
      </c>
      <c r="T324">
        <v>1</v>
      </c>
      <c r="W324">
        <v>0</v>
      </c>
    </row>
    <row r="325" spans="1:23" x14ac:dyDescent="0.2">
      <c r="A325" s="1">
        <v>323</v>
      </c>
      <c r="B325">
        <v>6004724</v>
      </c>
      <c r="C325" t="s">
        <v>349</v>
      </c>
      <c r="D325" t="s">
        <v>937</v>
      </c>
      <c r="E325" t="str">
        <f>"0385521308"</f>
        <v>0385521308</v>
      </c>
      <c r="F325" t="str">
        <f>"9780385521307"</f>
        <v>9780385521307</v>
      </c>
      <c r="G325">
        <v>3</v>
      </c>
      <c r="H325">
        <v>4.01</v>
      </c>
      <c r="I325" t="s">
        <v>1241</v>
      </c>
      <c r="J325" t="s">
        <v>1509</v>
      </c>
      <c r="K325">
        <v>432</v>
      </c>
      <c r="L325">
        <v>2009</v>
      </c>
      <c r="M325">
        <v>2009</v>
      </c>
      <c r="N325" t="s">
        <v>1540</v>
      </c>
      <c r="O325" t="s">
        <v>1671</v>
      </c>
      <c r="P325" t="s">
        <v>1713</v>
      </c>
      <c r="Q325" t="s">
        <v>1736</v>
      </c>
      <c r="T325">
        <v>1</v>
      </c>
      <c r="W325">
        <v>0</v>
      </c>
    </row>
    <row r="326" spans="1:23" x14ac:dyDescent="0.2">
      <c r="A326" s="1">
        <v>324</v>
      </c>
      <c r="B326">
        <v>5546</v>
      </c>
      <c r="C326" t="s">
        <v>350</v>
      </c>
      <c r="D326" t="s">
        <v>893</v>
      </c>
      <c r="E326" t="str">
        <f>"0805390456"</f>
        <v>0805390456</v>
      </c>
      <c r="F326" t="str">
        <f>"9780805390452"</f>
        <v>9780805390452</v>
      </c>
      <c r="G326">
        <v>0</v>
      </c>
      <c r="H326">
        <v>4.5999999999999996</v>
      </c>
      <c r="I326" t="s">
        <v>1365</v>
      </c>
      <c r="J326" t="s">
        <v>1509</v>
      </c>
      <c r="K326">
        <v>1552</v>
      </c>
      <c r="L326">
        <v>2005</v>
      </c>
      <c r="M326">
        <v>1964</v>
      </c>
      <c r="O326" t="s">
        <v>1669</v>
      </c>
      <c r="P326" t="s">
        <v>1711</v>
      </c>
      <c r="T326">
        <v>0</v>
      </c>
      <c r="W326">
        <v>0</v>
      </c>
    </row>
    <row r="327" spans="1:23" x14ac:dyDescent="0.2">
      <c r="A327" s="1">
        <v>325</v>
      </c>
      <c r="B327">
        <v>282085</v>
      </c>
      <c r="C327" t="s">
        <v>351</v>
      </c>
      <c r="D327" t="s">
        <v>807</v>
      </c>
      <c r="E327" t="str">
        <f>"0060929642"</f>
        <v>0060929642</v>
      </c>
      <c r="F327" t="str">
        <f>"9780060929640"</f>
        <v>9780060929640</v>
      </c>
      <c r="G327">
        <v>5</v>
      </c>
      <c r="H327">
        <v>3.89</v>
      </c>
      <c r="I327" t="s">
        <v>1211</v>
      </c>
      <c r="J327" t="s">
        <v>1507</v>
      </c>
      <c r="K327">
        <v>688</v>
      </c>
      <c r="L327">
        <v>2004</v>
      </c>
      <c r="M327">
        <v>2004</v>
      </c>
      <c r="N327" t="s">
        <v>1541</v>
      </c>
      <c r="O327" t="s">
        <v>1653</v>
      </c>
      <c r="P327" t="s">
        <v>1713</v>
      </c>
      <c r="Q327" t="s">
        <v>1737</v>
      </c>
      <c r="T327">
        <v>1</v>
      </c>
      <c r="W327">
        <v>0</v>
      </c>
    </row>
    <row r="328" spans="1:23" x14ac:dyDescent="0.2">
      <c r="A328" s="1">
        <v>326</v>
      </c>
      <c r="B328">
        <v>84699</v>
      </c>
      <c r="C328" t="s">
        <v>352</v>
      </c>
      <c r="D328" t="s">
        <v>938</v>
      </c>
      <c r="E328" t="str">
        <f>"0385512058"</f>
        <v>0385512058</v>
      </c>
      <c r="F328" t="str">
        <f>"9780385512053"</f>
        <v>9780385512053</v>
      </c>
      <c r="G328">
        <v>0</v>
      </c>
      <c r="H328">
        <v>3.86</v>
      </c>
      <c r="I328" t="s">
        <v>1366</v>
      </c>
      <c r="J328" t="s">
        <v>1509</v>
      </c>
      <c r="K328">
        <v>309</v>
      </c>
      <c r="L328">
        <v>2005</v>
      </c>
      <c r="M328">
        <v>2005</v>
      </c>
      <c r="O328" t="s">
        <v>1660</v>
      </c>
      <c r="P328" t="s">
        <v>1711</v>
      </c>
      <c r="T328">
        <v>0</v>
      </c>
      <c r="W328">
        <v>0</v>
      </c>
    </row>
    <row r="329" spans="1:23" x14ac:dyDescent="0.2">
      <c r="A329" s="1">
        <v>327</v>
      </c>
      <c r="B329">
        <v>20877035</v>
      </c>
      <c r="C329" t="s">
        <v>353</v>
      </c>
      <c r="D329" t="s">
        <v>909</v>
      </c>
      <c r="E329" t="str">
        <f>""</f>
        <v/>
      </c>
      <c r="F329" t="str">
        <f>""</f>
        <v/>
      </c>
      <c r="G329">
        <v>0</v>
      </c>
      <c r="H329">
        <v>4.1100000000000003</v>
      </c>
      <c r="L329">
        <v>1989</v>
      </c>
      <c r="M329">
        <v>1989</v>
      </c>
      <c r="O329" t="s">
        <v>1660</v>
      </c>
      <c r="P329" t="s">
        <v>1711</v>
      </c>
      <c r="T329">
        <v>0</v>
      </c>
      <c r="W329">
        <v>0</v>
      </c>
    </row>
    <row r="330" spans="1:23" x14ac:dyDescent="0.2">
      <c r="A330" s="1">
        <v>328</v>
      </c>
      <c r="B330">
        <v>118316</v>
      </c>
      <c r="C330" t="s">
        <v>354</v>
      </c>
      <c r="D330" t="s">
        <v>939</v>
      </c>
      <c r="E330" t="str">
        <f>"0816614024"</f>
        <v>0816614024</v>
      </c>
      <c r="F330" t="str">
        <f>"9780816614028"</f>
        <v>9780816614028</v>
      </c>
      <c r="G330">
        <v>0</v>
      </c>
      <c r="H330">
        <v>4.3</v>
      </c>
      <c r="I330" t="s">
        <v>1367</v>
      </c>
      <c r="J330" t="s">
        <v>1507</v>
      </c>
      <c r="K330">
        <v>632</v>
      </c>
      <c r="L330">
        <v>1987</v>
      </c>
      <c r="M330">
        <v>1987</v>
      </c>
      <c r="O330" t="s">
        <v>1672</v>
      </c>
      <c r="P330" t="s">
        <v>1711</v>
      </c>
      <c r="T330">
        <v>0</v>
      </c>
      <c r="W330">
        <v>0</v>
      </c>
    </row>
    <row r="331" spans="1:23" x14ac:dyDescent="0.2">
      <c r="A331" s="1">
        <v>329</v>
      </c>
      <c r="B331">
        <v>118317</v>
      </c>
      <c r="C331" t="s">
        <v>355</v>
      </c>
      <c r="D331" t="s">
        <v>939</v>
      </c>
      <c r="E331" t="str">
        <f>"0816612250"</f>
        <v>0816612250</v>
      </c>
      <c r="F331" t="str">
        <f>"9780816612253"</f>
        <v>9780816612253</v>
      </c>
      <c r="G331">
        <v>0</v>
      </c>
      <c r="H331">
        <v>4.13</v>
      </c>
      <c r="I331" t="s">
        <v>1367</v>
      </c>
      <c r="J331" t="s">
        <v>1507</v>
      </c>
      <c r="K331">
        <v>400</v>
      </c>
      <c r="L331">
        <v>1983</v>
      </c>
      <c r="M331">
        <v>1972</v>
      </c>
      <c r="O331" t="s">
        <v>1672</v>
      </c>
      <c r="P331" t="s">
        <v>1711</v>
      </c>
      <c r="T331">
        <v>0</v>
      </c>
      <c r="W331">
        <v>0</v>
      </c>
    </row>
    <row r="332" spans="1:23" x14ac:dyDescent="0.2">
      <c r="A332" s="1">
        <v>330</v>
      </c>
      <c r="B332">
        <v>353425</v>
      </c>
      <c r="C332" t="s">
        <v>356</v>
      </c>
      <c r="D332" t="s">
        <v>940</v>
      </c>
      <c r="E332" t="str">
        <f>"0812692373"</f>
        <v>0812692373</v>
      </c>
      <c r="F332" t="str">
        <f>"9780812692372"</f>
        <v>9780812692372</v>
      </c>
      <c r="G332">
        <v>0</v>
      </c>
      <c r="H332">
        <v>3.97</v>
      </c>
      <c r="I332" t="s">
        <v>1368</v>
      </c>
      <c r="J332" t="s">
        <v>1507</v>
      </c>
      <c r="K332">
        <v>254</v>
      </c>
      <c r="L332">
        <v>1999</v>
      </c>
      <c r="M332">
        <v>1993</v>
      </c>
      <c r="O332" t="s">
        <v>1673</v>
      </c>
      <c r="P332" t="s">
        <v>1711</v>
      </c>
      <c r="T332">
        <v>0</v>
      </c>
      <c r="W332">
        <v>0</v>
      </c>
    </row>
    <row r="333" spans="1:23" x14ac:dyDescent="0.2">
      <c r="A333" s="1">
        <v>331</v>
      </c>
      <c r="B333">
        <v>809399</v>
      </c>
      <c r="C333" t="s">
        <v>357</v>
      </c>
      <c r="D333" t="s">
        <v>940</v>
      </c>
      <c r="E333" t="str">
        <f>"0688001750"</f>
        <v>0688001750</v>
      </c>
      <c r="F333" t="str">
        <f>"9780688001759"</f>
        <v>9780688001759</v>
      </c>
      <c r="G333">
        <v>0</v>
      </c>
      <c r="H333">
        <v>3.59</v>
      </c>
      <c r="I333" t="s">
        <v>1345</v>
      </c>
      <c r="J333" t="s">
        <v>1509</v>
      </c>
      <c r="K333">
        <v>256</v>
      </c>
      <c r="L333">
        <v>1973</v>
      </c>
      <c r="M333">
        <v>1973</v>
      </c>
      <c r="O333" t="s">
        <v>1673</v>
      </c>
      <c r="P333" t="s">
        <v>1711</v>
      </c>
      <c r="T333">
        <v>0</v>
      </c>
      <c r="W333">
        <v>0</v>
      </c>
    </row>
    <row r="334" spans="1:23" x14ac:dyDescent="0.2">
      <c r="A334" s="1">
        <v>332</v>
      </c>
      <c r="B334">
        <v>119073</v>
      </c>
      <c r="C334" t="s">
        <v>358</v>
      </c>
      <c r="D334" t="s">
        <v>941</v>
      </c>
      <c r="E334" t="str">
        <f>"0156001314"</f>
        <v>0156001314</v>
      </c>
      <c r="F334" t="str">
        <f>"9780156001311"</f>
        <v>9780156001311</v>
      </c>
      <c r="G334">
        <v>0</v>
      </c>
      <c r="H334">
        <v>4.13</v>
      </c>
      <c r="I334" t="s">
        <v>1348</v>
      </c>
      <c r="J334" t="s">
        <v>1507</v>
      </c>
      <c r="K334">
        <v>536</v>
      </c>
      <c r="L334">
        <v>1994</v>
      </c>
      <c r="M334">
        <v>1980</v>
      </c>
      <c r="O334" t="s">
        <v>1609</v>
      </c>
      <c r="P334" t="s">
        <v>1711</v>
      </c>
      <c r="T334">
        <v>0</v>
      </c>
      <c r="W334">
        <v>0</v>
      </c>
    </row>
    <row r="335" spans="1:23" x14ac:dyDescent="0.2">
      <c r="A335" s="1">
        <v>333</v>
      </c>
      <c r="B335">
        <v>17841</v>
      </c>
      <c r="C335" t="s">
        <v>359</v>
      </c>
      <c r="D335" t="s">
        <v>941</v>
      </c>
      <c r="E335" t="str">
        <f>"015603297X"</f>
        <v>015603297X</v>
      </c>
      <c r="F335" t="str">
        <f>"9780156032971"</f>
        <v>9780156032971</v>
      </c>
      <c r="G335">
        <v>0</v>
      </c>
      <c r="H335">
        <v>3.9</v>
      </c>
      <c r="I335" t="s">
        <v>1369</v>
      </c>
      <c r="J335" t="s">
        <v>1507</v>
      </c>
      <c r="K335">
        <v>623</v>
      </c>
      <c r="L335">
        <v>2007</v>
      </c>
      <c r="M335">
        <v>1988</v>
      </c>
      <c r="O335" t="s">
        <v>1609</v>
      </c>
      <c r="P335" t="s">
        <v>1711</v>
      </c>
      <c r="T335">
        <v>0</v>
      </c>
      <c r="W335">
        <v>0</v>
      </c>
    </row>
    <row r="336" spans="1:23" x14ac:dyDescent="0.2">
      <c r="A336" s="1">
        <v>334</v>
      </c>
      <c r="B336">
        <v>36817</v>
      </c>
      <c r="C336" t="s">
        <v>360</v>
      </c>
      <c r="D336" t="s">
        <v>942</v>
      </c>
      <c r="E336" t="str">
        <f>"097434723X"</f>
        <v>097434723X</v>
      </c>
      <c r="F336" t="str">
        <f>"9780974347233"</f>
        <v>9780974347233</v>
      </c>
      <c r="G336">
        <v>0</v>
      </c>
      <c r="H336">
        <v>3.84</v>
      </c>
      <c r="I336" t="s">
        <v>1370</v>
      </c>
      <c r="J336" t="s">
        <v>1509</v>
      </c>
      <c r="K336">
        <v>304</v>
      </c>
      <c r="L336">
        <v>2005</v>
      </c>
      <c r="M336">
        <v>1964</v>
      </c>
      <c r="O336" t="s">
        <v>1674</v>
      </c>
      <c r="P336" t="s">
        <v>1711</v>
      </c>
      <c r="T336">
        <v>0</v>
      </c>
      <c r="W336">
        <v>0</v>
      </c>
    </row>
    <row r="337" spans="1:23" x14ac:dyDescent="0.2">
      <c r="A337" s="1">
        <v>335</v>
      </c>
      <c r="B337">
        <v>17349</v>
      </c>
      <c r="C337" t="s">
        <v>361</v>
      </c>
      <c r="D337" t="s">
        <v>699</v>
      </c>
      <c r="E337" t="str">
        <f>"0345409469"</f>
        <v>0345409469</v>
      </c>
      <c r="F337" t="str">
        <f>"9780345409461"</f>
        <v>9780345409461</v>
      </c>
      <c r="G337">
        <v>0</v>
      </c>
      <c r="H337">
        <v>4.2699999999999996</v>
      </c>
      <c r="I337" t="s">
        <v>1371</v>
      </c>
      <c r="J337" t="s">
        <v>1507</v>
      </c>
      <c r="K337">
        <v>459</v>
      </c>
      <c r="L337">
        <v>1997</v>
      </c>
      <c r="M337">
        <v>1996</v>
      </c>
      <c r="O337" t="s">
        <v>1675</v>
      </c>
      <c r="P337" t="s">
        <v>1711</v>
      </c>
      <c r="T337">
        <v>0</v>
      </c>
      <c r="W337">
        <v>0</v>
      </c>
    </row>
    <row r="338" spans="1:23" x14ac:dyDescent="0.2">
      <c r="A338" s="1">
        <v>336</v>
      </c>
      <c r="B338">
        <v>28820444</v>
      </c>
      <c r="C338" t="s">
        <v>362</v>
      </c>
      <c r="D338" t="s">
        <v>943</v>
      </c>
      <c r="E338" t="str">
        <f>""</f>
        <v/>
      </c>
      <c r="F338" t="str">
        <f>"9780190496012"</f>
        <v>9780190496012</v>
      </c>
      <c r="G338">
        <v>0</v>
      </c>
      <c r="H338">
        <v>4.05</v>
      </c>
      <c r="I338" t="s">
        <v>1361</v>
      </c>
      <c r="J338" t="s">
        <v>1508</v>
      </c>
      <c r="K338">
        <v>408</v>
      </c>
      <c r="L338">
        <v>2017</v>
      </c>
      <c r="M338">
        <v>2017</v>
      </c>
      <c r="O338" t="s">
        <v>1675</v>
      </c>
      <c r="P338" t="s">
        <v>1711</v>
      </c>
      <c r="T338">
        <v>0</v>
      </c>
      <c r="W338">
        <v>0</v>
      </c>
    </row>
    <row r="339" spans="1:23" x14ac:dyDescent="0.2">
      <c r="A339" s="1">
        <v>337</v>
      </c>
      <c r="B339">
        <v>24800</v>
      </c>
      <c r="C339" t="s">
        <v>363</v>
      </c>
      <c r="D339" t="s">
        <v>944</v>
      </c>
      <c r="E339" t="str">
        <f>"038560310X"</f>
        <v>038560310X</v>
      </c>
      <c r="F339" t="str">
        <f>"9780385603102"</f>
        <v>9780385603102</v>
      </c>
      <c r="G339">
        <v>0</v>
      </c>
      <c r="H339">
        <v>4.05</v>
      </c>
      <c r="I339" t="s">
        <v>1191</v>
      </c>
      <c r="J339" t="s">
        <v>1507</v>
      </c>
      <c r="K339">
        <v>705</v>
      </c>
      <c r="L339">
        <v>2000</v>
      </c>
      <c r="M339">
        <v>2000</v>
      </c>
      <c r="O339" t="s">
        <v>1675</v>
      </c>
      <c r="P339" t="s">
        <v>1711</v>
      </c>
      <c r="T339">
        <v>0</v>
      </c>
      <c r="W339">
        <v>0</v>
      </c>
    </row>
    <row r="340" spans="1:23" x14ac:dyDescent="0.2">
      <c r="A340" s="1">
        <v>338</v>
      </c>
      <c r="B340">
        <v>743692</v>
      </c>
      <c r="C340" t="s">
        <v>364</v>
      </c>
      <c r="D340" t="s">
        <v>945</v>
      </c>
      <c r="E340" t="str">
        <f>"1928649270"</f>
        <v>1928649270</v>
      </c>
      <c r="F340" t="str">
        <f>"9781928649274"</f>
        <v>9781928649274</v>
      </c>
      <c r="G340">
        <v>0</v>
      </c>
      <c r="H340">
        <v>4.29</v>
      </c>
      <c r="I340" t="s">
        <v>1372</v>
      </c>
      <c r="J340" t="s">
        <v>1507</v>
      </c>
      <c r="K340">
        <v>362</v>
      </c>
      <c r="L340">
        <v>2004</v>
      </c>
      <c r="M340">
        <v>2004</v>
      </c>
      <c r="O340" t="s">
        <v>1676</v>
      </c>
      <c r="P340" t="s">
        <v>1711</v>
      </c>
      <c r="T340">
        <v>0</v>
      </c>
      <c r="W340">
        <v>0</v>
      </c>
    </row>
    <row r="341" spans="1:23" x14ac:dyDescent="0.2">
      <c r="A341" s="1">
        <v>339</v>
      </c>
      <c r="B341">
        <v>177766</v>
      </c>
      <c r="C341" t="s">
        <v>365</v>
      </c>
      <c r="D341" t="s">
        <v>946</v>
      </c>
      <c r="E341" t="str">
        <f>"0385720386"</f>
        <v>0385720386</v>
      </c>
      <c r="F341" t="str">
        <f>"9780385720380"</f>
        <v>9780385720380</v>
      </c>
      <c r="G341">
        <v>0</v>
      </c>
      <c r="H341">
        <v>4.0599999999999996</v>
      </c>
      <c r="I341" t="s">
        <v>1373</v>
      </c>
      <c r="J341" t="s">
        <v>1507</v>
      </c>
      <c r="K341">
        <v>526</v>
      </c>
      <c r="L341">
        <v>2002</v>
      </c>
      <c r="M341">
        <v>2001</v>
      </c>
      <c r="O341" t="s">
        <v>1542</v>
      </c>
      <c r="P341" t="s">
        <v>1711</v>
      </c>
      <c r="T341">
        <v>0</v>
      </c>
      <c r="W341">
        <v>0</v>
      </c>
    </row>
    <row r="342" spans="1:23" x14ac:dyDescent="0.2">
      <c r="A342" s="1">
        <v>340</v>
      </c>
      <c r="B342">
        <v>40940205</v>
      </c>
      <c r="C342" t="s">
        <v>366</v>
      </c>
      <c r="D342" t="s">
        <v>947</v>
      </c>
      <c r="E342" t="str">
        <f>""</f>
        <v/>
      </c>
      <c r="F342" t="str">
        <f>""</f>
        <v/>
      </c>
      <c r="G342">
        <v>2</v>
      </c>
      <c r="H342">
        <v>4.0199999999999996</v>
      </c>
      <c r="I342" t="s">
        <v>1304</v>
      </c>
      <c r="J342" t="s">
        <v>1511</v>
      </c>
      <c r="K342">
        <v>182</v>
      </c>
      <c r="L342">
        <v>2016</v>
      </c>
      <c r="M342">
        <v>2016</v>
      </c>
      <c r="N342" t="s">
        <v>1542</v>
      </c>
      <c r="O342" t="s">
        <v>1547</v>
      </c>
      <c r="P342" t="s">
        <v>1713</v>
      </c>
      <c r="Q342" t="s">
        <v>1738</v>
      </c>
      <c r="T342">
        <v>1</v>
      </c>
      <c r="W342">
        <v>0</v>
      </c>
    </row>
    <row r="343" spans="1:23" x14ac:dyDescent="0.2">
      <c r="A343" s="1">
        <v>341</v>
      </c>
      <c r="B343">
        <v>46945</v>
      </c>
      <c r="C343" t="s">
        <v>367</v>
      </c>
      <c r="D343" t="s">
        <v>948</v>
      </c>
      <c r="E343" t="str">
        <f>"1560252480"</f>
        <v>1560252480</v>
      </c>
      <c r="F343" t="str">
        <f>"9781560252481"</f>
        <v>9781560252481</v>
      </c>
      <c r="G343">
        <v>5</v>
      </c>
      <c r="H343">
        <v>4.09</v>
      </c>
      <c r="I343" t="s">
        <v>1374</v>
      </c>
      <c r="J343" t="s">
        <v>1515</v>
      </c>
      <c r="K343">
        <v>279</v>
      </c>
      <c r="L343">
        <v>1999</v>
      </c>
      <c r="M343">
        <v>1978</v>
      </c>
      <c r="N343" t="s">
        <v>1543</v>
      </c>
      <c r="O343" t="s">
        <v>1595</v>
      </c>
      <c r="P343" t="s">
        <v>1713</v>
      </c>
      <c r="Q343" t="s">
        <v>1739</v>
      </c>
      <c r="T343">
        <v>1</v>
      </c>
      <c r="W343">
        <v>0</v>
      </c>
    </row>
    <row r="344" spans="1:23" x14ac:dyDescent="0.2">
      <c r="A344" s="1">
        <v>342</v>
      </c>
      <c r="B344">
        <v>303615</v>
      </c>
      <c r="C344" t="s">
        <v>368</v>
      </c>
      <c r="D344" t="s">
        <v>949</v>
      </c>
      <c r="E344" t="str">
        <f>"1573921394"</f>
        <v>1573921394</v>
      </c>
      <c r="F344" t="str">
        <f>"9781573921398"</f>
        <v>9781573921398</v>
      </c>
      <c r="G344">
        <v>0</v>
      </c>
      <c r="H344">
        <v>3.84</v>
      </c>
      <c r="I344" t="s">
        <v>1375</v>
      </c>
      <c r="J344" t="s">
        <v>1507</v>
      </c>
      <c r="K344">
        <v>403</v>
      </c>
      <c r="L344">
        <v>1997</v>
      </c>
      <c r="M344">
        <v>1935</v>
      </c>
      <c r="O344" t="s">
        <v>1677</v>
      </c>
      <c r="P344" t="s">
        <v>1711</v>
      </c>
      <c r="T344">
        <v>0</v>
      </c>
      <c r="W344">
        <v>0</v>
      </c>
    </row>
    <row r="345" spans="1:23" x14ac:dyDescent="0.2">
      <c r="A345" s="1">
        <v>343</v>
      </c>
      <c r="B345">
        <v>23168840</v>
      </c>
      <c r="C345" t="s">
        <v>369</v>
      </c>
      <c r="D345" t="s">
        <v>950</v>
      </c>
      <c r="E345" t="str">
        <f>"1627793445"</f>
        <v>1627793445</v>
      </c>
      <c r="F345" t="str">
        <f>"9781627793445"</f>
        <v>9781627793445</v>
      </c>
      <c r="G345">
        <v>0</v>
      </c>
      <c r="H345">
        <v>4.05</v>
      </c>
      <c r="I345" t="s">
        <v>1237</v>
      </c>
      <c r="J345" t="s">
        <v>1507</v>
      </c>
      <c r="K345">
        <v>156</v>
      </c>
      <c r="L345">
        <v>2015</v>
      </c>
      <c r="M345">
        <v>2014</v>
      </c>
      <c r="O345" t="s">
        <v>1678</v>
      </c>
      <c r="P345" t="s">
        <v>1711</v>
      </c>
      <c r="T345">
        <v>0</v>
      </c>
      <c r="W345">
        <v>0</v>
      </c>
    </row>
    <row r="346" spans="1:23" x14ac:dyDescent="0.2">
      <c r="A346" s="1">
        <v>344</v>
      </c>
      <c r="B346">
        <v>377742</v>
      </c>
      <c r="C346" t="s">
        <v>370</v>
      </c>
      <c r="D346" t="s">
        <v>951</v>
      </c>
      <c r="E346" t="str">
        <f>"0810981149"</f>
        <v>0810981149</v>
      </c>
      <c r="F346" t="str">
        <f>"9780810981140"</f>
        <v>9780810981140</v>
      </c>
      <c r="G346">
        <v>0</v>
      </c>
      <c r="H346">
        <v>4.16</v>
      </c>
      <c r="I346" t="s">
        <v>1376</v>
      </c>
      <c r="J346" t="s">
        <v>1509</v>
      </c>
      <c r="K346">
        <v>306</v>
      </c>
      <c r="L346">
        <v>1993</v>
      </c>
      <c r="M346">
        <v>1971</v>
      </c>
      <c r="O346" t="s">
        <v>1678</v>
      </c>
      <c r="P346" t="s">
        <v>1711</v>
      </c>
      <c r="T346">
        <v>0</v>
      </c>
      <c r="W346">
        <v>0</v>
      </c>
    </row>
    <row r="347" spans="1:23" x14ac:dyDescent="0.2">
      <c r="A347" s="1">
        <v>345</v>
      </c>
      <c r="B347">
        <v>825419</v>
      </c>
      <c r="C347" t="s">
        <v>371</v>
      </c>
      <c r="D347" t="s">
        <v>952</v>
      </c>
      <c r="E347" t="str">
        <f>"0140095144"</f>
        <v>0140095144</v>
      </c>
      <c r="F347" t="str">
        <f>"9780140095142"</f>
        <v>9780140095142</v>
      </c>
      <c r="G347">
        <v>3</v>
      </c>
      <c r="H347">
        <v>4.17</v>
      </c>
      <c r="I347" t="s">
        <v>1210</v>
      </c>
      <c r="J347" t="s">
        <v>1507</v>
      </c>
      <c r="K347">
        <v>347</v>
      </c>
      <c r="L347">
        <v>1984</v>
      </c>
      <c r="M347">
        <v>1959</v>
      </c>
      <c r="N347" t="s">
        <v>1544</v>
      </c>
      <c r="O347" t="s">
        <v>1653</v>
      </c>
      <c r="P347" t="s">
        <v>1713</v>
      </c>
      <c r="Q347" t="s">
        <v>1740</v>
      </c>
      <c r="T347">
        <v>1</v>
      </c>
      <c r="W347">
        <v>0</v>
      </c>
    </row>
    <row r="348" spans="1:23" x14ac:dyDescent="0.2">
      <c r="A348" s="1">
        <v>346</v>
      </c>
      <c r="B348">
        <v>853510</v>
      </c>
      <c r="C348" t="s">
        <v>372</v>
      </c>
      <c r="D348" t="s">
        <v>953</v>
      </c>
      <c r="E348" t="str">
        <f>"0007119313"</f>
        <v>0007119313</v>
      </c>
      <c r="F348" t="str">
        <f>"9780007119318"</f>
        <v>9780007119318</v>
      </c>
      <c r="G348">
        <v>0</v>
      </c>
      <c r="H348">
        <v>4.18</v>
      </c>
      <c r="I348" t="s">
        <v>1224</v>
      </c>
      <c r="J348" t="s">
        <v>1507</v>
      </c>
      <c r="K348">
        <v>274</v>
      </c>
      <c r="L348">
        <v>2007</v>
      </c>
      <c r="M348">
        <v>1934</v>
      </c>
      <c r="O348" t="s">
        <v>1544</v>
      </c>
      <c r="P348" t="s">
        <v>1711</v>
      </c>
      <c r="T348">
        <v>0</v>
      </c>
      <c r="W348">
        <v>0</v>
      </c>
    </row>
    <row r="349" spans="1:23" x14ac:dyDescent="0.2">
      <c r="A349" s="1">
        <v>347</v>
      </c>
      <c r="B349">
        <v>28815</v>
      </c>
      <c r="C349" t="s">
        <v>373</v>
      </c>
      <c r="D349" t="s">
        <v>954</v>
      </c>
      <c r="E349" t="str">
        <f>"006124189X"</f>
        <v>006124189X</v>
      </c>
      <c r="F349" t="str">
        <f>"9780061241895"</f>
        <v>9780061241895</v>
      </c>
      <c r="G349">
        <v>0</v>
      </c>
      <c r="H349">
        <v>4.1900000000000004</v>
      </c>
      <c r="I349" t="s">
        <v>1377</v>
      </c>
      <c r="J349" t="s">
        <v>1507</v>
      </c>
      <c r="K349">
        <v>320</v>
      </c>
      <c r="L349">
        <v>2006</v>
      </c>
      <c r="M349">
        <v>1984</v>
      </c>
      <c r="O349" t="s">
        <v>1679</v>
      </c>
      <c r="P349" t="s">
        <v>1711</v>
      </c>
      <c r="T349">
        <v>0</v>
      </c>
      <c r="W349">
        <v>0</v>
      </c>
    </row>
    <row r="350" spans="1:23" x14ac:dyDescent="0.2">
      <c r="A350" s="1">
        <v>348</v>
      </c>
      <c r="B350">
        <v>258860</v>
      </c>
      <c r="C350" t="s">
        <v>374</v>
      </c>
      <c r="D350" t="s">
        <v>955</v>
      </c>
      <c r="E350" t="str">
        <f>"184018907X"</f>
        <v>184018907X</v>
      </c>
      <c r="F350" t="str">
        <f>"9781840189070"</f>
        <v>9781840189070</v>
      </c>
      <c r="G350">
        <v>3</v>
      </c>
      <c r="H350">
        <v>4.0199999999999996</v>
      </c>
      <c r="I350" t="s">
        <v>1378</v>
      </c>
      <c r="J350" t="s">
        <v>1507</v>
      </c>
      <c r="K350">
        <v>320</v>
      </c>
      <c r="L350">
        <v>2004</v>
      </c>
      <c r="N350" t="s">
        <v>1545</v>
      </c>
      <c r="O350" t="s">
        <v>1628</v>
      </c>
      <c r="P350" t="s">
        <v>1713</v>
      </c>
      <c r="Q350" t="s">
        <v>1741</v>
      </c>
      <c r="T350">
        <v>1</v>
      </c>
      <c r="W350">
        <v>0</v>
      </c>
    </row>
    <row r="351" spans="1:23" x14ac:dyDescent="0.2">
      <c r="A351" s="1">
        <v>349</v>
      </c>
      <c r="B351">
        <v>40163119</v>
      </c>
      <c r="C351" t="s">
        <v>375</v>
      </c>
      <c r="D351" t="s">
        <v>937</v>
      </c>
      <c r="E351" t="str">
        <f>"0385521316"</f>
        <v>0385521316</v>
      </c>
      <c r="F351" t="str">
        <f>"9780385521314"</f>
        <v>9780385521314</v>
      </c>
      <c r="G351">
        <v>4</v>
      </c>
      <c r="H351">
        <v>4.42</v>
      </c>
      <c r="I351" t="s">
        <v>1241</v>
      </c>
      <c r="J351" t="s">
        <v>1509</v>
      </c>
      <c r="K351">
        <v>519</v>
      </c>
      <c r="L351">
        <v>2019</v>
      </c>
      <c r="M351">
        <v>2018</v>
      </c>
      <c r="N351" t="s">
        <v>1546</v>
      </c>
      <c r="O351" t="s">
        <v>1555</v>
      </c>
      <c r="P351" t="s">
        <v>1713</v>
      </c>
      <c r="Q351" t="s">
        <v>1742</v>
      </c>
      <c r="T351">
        <v>1</v>
      </c>
      <c r="W351">
        <v>0</v>
      </c>
    </row>
    <row r="352" spans="1:23" x14ac:dyDescent="0.2">
      <c r="A352" s="1">
        <v>350</v>
      </c>
      <c r="B352">
        <v>289947</v>
      </c>
      <c r="C352" t="s">
        <v>376</v>
      </c>
      <c r="D352" t="s">
        <v>956</v>
      </c>
      <c r="E352" t="str">
        <f>"0738206709"</f>
        <v>0738206709</v>
      </c>
      <c r="F352" t="str">
        <f>"9780738206707"</f>
        <v>9780738206707</v>
      </c>
      <c r="G352">
        <v>3</v>
      </c>
      <c r="H352">
        <v>3.93</v>
      </c>
      <c r="I352" t="s">
        <v>1170</v>
      </c>
      <c r="J352" t="s">
        <v>1507</v>
      </c>
      <c r="K352">
        <v>344</v>
      </c>
      <c r="L352">
        <v>2002</v>
      </c>
      <c r="M352">
        <v>2000</v>
      </c>
      <c r="N352" t="s">
        <v>1547</v>
      </c>
      <c r="O352" t="s">
        <v>1628</v>
      </c>
      <c r="P352" t="s">
        <v>1713</v>
      </c>
      <c r="Q352" t="s">
        <v>1743</v>
      </c>
      <c r="T352">
        <v>1</v>
      </c>
      <c r="W352">
        <v>0</v>
      </c>
    </row>
    <row r="353" spans="1:23" x14ac:dyDescent="0.2">
      <c r="A353" s="1">
        <v>351</v>
      </c>
      <c r="B353">
        <v>16240481</v>
      </c>
      <c r="C353" t="s">
        <v>377</v>
      </c>
      <c r="D353" t="s">
        <v>957</v>
      </c>
      <c r="E353" t="str">
        <f>"1848547528"</f>
        <v>1848547528</v>
      </c>
      <c r="F353" t="str">
        <f>"9781848547520"</f>
        <v>9781848547520</v>
      </c>
      <c r="G353">
        <v>0</v>
      </c>
      <c r="H353">
        <v>4.24</v>
      </c>
      <c r="I353" t="s">
        <v>1379</v>
      </c>
      <c r="J353" t="s">
        <v>1509</v>
      </c>
      <c r="K353">
        <v>362</v>
      </c>
      <c r="L353">
        <v>2013</v>
      </c>
      <c r="M353">
        <v>2013</v>
      </c>
      <c r="O353" t="s">
        <v>1680</v>
      </c>
      <c r="P353" t="s">
        <v>1711</v>
      </c>
      <c r="T353">
        <v>0</v>
      </c>
      <c r="W353">
        <v>0</v>
      </c>
    </row>
    <row r="354" spans="1:23" x14ac:dyDescent="0.2">
      <c r="A354" s="1">
        <v>352</v>
      </c>
      <c r="B354">
        <v>293207</v>
      </c>
      <c r="C354" t="s">
        <v>378</v>
      </c>
      <c r="D354" t="s">
        <v>957</v>
      </c>
      <c r="E354" t="str">
        <f>"1590171667"</f>
        <v>1590171667</v>
      </c>
      <c r="F354" t="str">
        <f>"9781590171660"</f>
        <v>9781590171660</v>
      </c>
      <c r="G354">
        <v>0</v>
      </c>
      <c r="H354">
        <v>4.3</v>
      </c>
      <c r="I354" t="s">
        <v>1380</v>
      </c>
      <c r="J354" t="s">
        <v>1507</v>
      </c>
      <c r="K354">
        <v>280</v>
      </c>
      <c r="L354">
        <v>2005</v>
      </c>
      <c r="M354">
        <v>1986</v>
      </c>
      <c r="O354" t="s">
        <v>1680</v>
      </c>
      <c r="P354" t="s">
        <v>1711</v>
      </c>
      <c r="T354">
        <v>0</v>
      </c>
      <c r="W354">
        <v>0</v>
      </c>
    </row>
    <row r="355" spans="1:23" x14ac:dyDescent="0.2">
      <c r="A355" s="1">
        <v>353</v>
      </c>
      <c r="B355">
        <v>7190</v>
      </c>
      <c r="C355" t="s">
        <v>379</v>
      </c>
      <c r="D355" t="s">
        <v>852</v>
      </c>
      <c r="E355" t="str">
        <f>""</f>
        <v/>
      </c>
      <c r="F355" t="str">
        <f>""</f>
        <v/>
      </c>
      <c r="G355">
        <v>0</v>
      </c>
      <c r="H355">
        <v>4.07</v>
      </c>
      <c r="I355" t="s">
        <v>1267</v>
      </c>
      <c r="J355" t="s">
        <v>1507</v>
      </c>
      <c r="K355">
        <v>625</v>
      </c>
      <c r="L355">
        <v>2001</v>
      </c>
      <c r="M355">
        <v>1844</v>
      </c>
      <c r="O355" t="s">
        <v>1671</v>
      </c>
      <c r="P355" t="s">
        <v>1711</v>
      </c>
      <c r="T355">
        <v>0</v>
      </c>
      <c r="W355">
        <v>0</v>
      </c>
    </row>
    <row r="356" spans="1:23" x14ac:dyDescent="0.2">
      <c r="A356" s="1">
        <v>354</v>
      </c>
      <c r="B356">
        <v>1381</v>
      </c>
      <c r="C356" t="s">
        <v>380</v>
      </c>
      <c r="D356" t="s">
        <v>958</v>
      </c>
      <c r="E356" t="str">
        <f>"0143039954"</f>
        <v>0143039954</v>
      </c>
      <c r="F356" t="str">
        <f>"9780143039952"</f>
        <v>9780143039952</v>
      </c>
      <c r="G356">
        <v>0</v>
      </c>
      <c r="H356">
        <v>3.77</v>
      </c>
      <c r="I356" t="s">
        <v>1381</v>
      </c>
      <c r="J356" t="s">
        <v>1507</v>
      </c>
      <c r="K356">
        <v>541</v>
      </c>
      <c r="L356">
        <v>2006</v>
      </c>
      <c r="M356">
        <v>-700</v>
      </c>
      <c r="O356" t="s">
        <v>1671</v>
      </c>
      <c r="P356" t="s">
        <v>1713</v>
      </c>
      <c r="T356">
        <v>1</v>
      </c>
      <c r="W356">
        <v>0</v>
      </c>
    </row>
    <row r="357" spans="1:23" x14ac:dyDescent="0.2">
      <c r="A357" s="1">
        <v>355</v>
      </c>
      <c r="B357">
        <v>344860</v>
      </c>
      <c r="C357" t="s">
        <v>381</v>
      </c>
      <c r="D357" t="s">
        <v>937</v>
      </c>
      <c r="E357" t="str">
        <f>"1400060346"</f>
        <v>1400060346</v>
      </c>
      <c r="F357" t="str">
        <f>"9781400060344"</f>
        <v>9781400060344</v>
      </c>
      <c r="G357">
        <v>0</v>
      </c>
      <c r="H357">
        <v>3.6</v>
      </c>
      <c r="I357" t="s">
        <v>1191</v>
      </c>
      <c r="J357" t="s">
        <v>1509</v>
      </c>
      <c r="K357">
        <v>300</v>
      </c>
      <c r="L357">
        <v>2005</v>
      </c>
      <c r="M357">
        <v>2005</v>
      </c>
      <c r="O357" t="s">
        <v>1671</v>
      </c>
      <c r="P357" t="s">
        <v>1711</v>
      </c>
      <c r="T357">
        <v>0</v>
      </c>
      <c r="W357">
        <v>0</v>
      </c>
    </row>
    <row r="358" spans="1:23" x14ac:dyDescent="0.2">
      <c r="A358" s="1">
        <v>356</v>
      </c>
      <c r="B358">
        <v>50489112</v>
      </c>
      <c r="C358" t="s">
        <v>382</v>
      </c>
      <c r="D358" t="s">
        <v>929</v>
      </c>
      <c r="E358" t="str">
        <f>""</f>
        <v/>
      </c>
      <c r="F358" t="str">
        <f>"9781733518055"</f>
        <v>9781733518055</v>
      </c>
      <c r="G358">
        <v>4</v>
      </c>
      <c r="H358">
        <v>4.33</v>
      </c>
      <c r="I358" t="s">
        <v>1382</v>
      </c>
      <c r="J358" t="s">
        <v>1507</v>
      </c>
      <c r="K358">
        <v>196</v>
      </c>
      <c r="L358">
        <v>2019</v>
      </c>
      <c r="N358" t="s">
        <v>1548</v>
      </c>
      <c r="O358" t="s">
        <v>1681</v>
      </c>
      <c r="P358" t="s">
        <v>1713</v>
      </c>
      <c r="Q358" t="s">
        <v>1744</v>
      </c>
      <c r="T358">
        <v>1</v>
      </c>
      <c r="W358">
        <v>0</v>
      </c>
    </row>
    <row r="359" spans="1:23" x14ac:dyDescent="0.2">
      <c r="A359" s="1">
        <v>357</v>
      </c>
      <c r="B359">
        <v>764165</v>
      </c>
      <c r="C359" t="s">
        <v>383</v>
      </c>
      <c r="D359" t="s">
        <v>959</v>
      </c>
      <c r="E359" t="str">
        <f>"0140255087"</f>
        <v>0140255087</v>
      </c>
      <c r="F359" t="str">
        <f>"9780140255089"</f>
        <v>9780140255089</v>
      </c>
      <c r="G359">
        <v>0</v>
      </c>
      <c r="H359">
        <v>4.12</v>
      </c>
      <c r="I359" t="s">
        <v>1174</v>
      </c>
      <c r="J359" t="s">
        <v>1507</v>
      </c>
      <c r="K359">
        <v>352</v>
      </c>
      <c r="L359">
        <v>1987</v>
      </c>
      <c r="M359">
        <v>1978</v>
      </c>
      <c r="O359" t="s">
        <v>1595</v>
      </c>
      <c r="P359" t="s">
        <v>1711</v>
      </c>
      <c r="T359">
        <v>0</v>
      </c>
      <c r="W359">
        <v>0</v>
      </c>
    </row>
    <row r="360" spans="1:23" x14ac:dyDescent="0.2">
      <c r="A360" s="1">
        <v>358</v>
      </c>
      <c r="B360">
        <v>5306</v>
      </c>
      <c r="C360" t="s">
        <v>384</v>
      </c>
      <c r="D360" t="s">
        <v>723</v>
      </c>
      <c r="E360" t="str">
        <f>"0142000701"</f>
        <v>0142000701</v>
      </c>
      <c r="F360" t="str">
        <f>"9780142000700"</f>
        <v>9780142000700</v>
      </c>
      <c r="G360">
        <v>0</v>
      </c>
      <c r="H360">
        <v>4.0599999999999996</v>
      </c>
      <c r="I360" t="s">
        <v>1210</v>
      </c>
      <c r="J360" t="s">
        <v>1507</v>
      </c>
      <c r="K360">
        <v>214</v>
      </c>
      <c r="L360">
        <v>2002</v>
      </c>
      <c r="M360">
        <v>1962</v>
      </c>
      <c r="O360" t="s">
        <v>1595</v>
      </c>
      <c r="P360" t="s">
        <v>1711</v>
      </c>
      <c r="T360">
        <v>0</v>
      </c>
      <c r="W360">
        <v>0</v>
      </c>
    </row>
    <row r="361" spans="1:23" x14ac:dyDescent="0.2">
      <c r="A361" s="1">
        <v>359</v>
      </c>
      <c r="B361">
        <v>899949</v>
      </c>
      <c r="C361" t="s">
        <v>385</v>
      </c>
      <c r="D361" t="s">
        <v>960</v>
      </c>
      <c r="E361" t="str">
        <f>"0810959402"</f>
        <v>0810959402</v>
      </c>
      <c r="F361" t="str">
        <f>"9780810959408"</f>
        <v>9780810959408</v>
      </c>
      <c r="G361">
        <v>0</v>
      </c>
      <c r="H361">
        <v>4.59</v>
      </c>
      <c r="I361" t="s">
        <v>1376</v>
      </c>
      <c r="J361" t="s">
        <v>1509</v>
      </c>
      <c r="K361">
        <v>180</v>
      </c>
      <c r="L361">
        <v>2006</v>
      </c>
      <c r="M361">
        <v>2006</v>
      </c>
      <c r="O361" t="s">
        <v>1595</v>
      </c>
      <c r="P361" t="s">
        <v>1711</v>
      </c>
      <c r="T361">
        <v>0</v>
      </c>
      <c r="W361">
        <v>0</v>
      </c>
    </row>
    <row r="362" spans="1:23" x14ac:dyDescent="0.2">
      <c r="A362" s="1">
        <v>360</v>
      </c>
      <c r="B362">
        <v>5759</v>
      </c>
      <c r="C362" t="s">
        <v>386</v>
      </c>
      <c r="D362" t="s">
        <v>961</v>
      </c>
      <c r="E362" t="str">
        <f>"0393327345"</f>
        <v>0393327345</v>
      </c>
      <c r="F362" t="str">
        <f>"9780393327342"</f>
        <v>9780393327342</v>
      </c>
      <c r="G362">
        <v>0</v>
      </c>
      <c r="H362">
        <v>4.1900000000000004</v>
      </c>
      <c r="I362" t="s">
        <v>1383</v>
      </c>
      <c r="J362" t="s">
        <v>1507</v>
      </c>
      <c r="K362">
        <v>218</v>
      </c>
      <c r="L362">
        <v>2005</v>
      </c>
      <c r="M362">
        <v>1996</v>
      </c>
      <c r="O362" t="s">
        <v>1595</v>
      </c>
      <c r="P362" t="s">
        <v>1711</v>
      </c>
      <c r="T362">
        <v>0</v>
      </c>
      <c r="W362">
        <v>0</v>
      </c>
    </row>
    <row r="363" spans="1:23" x14ac:dyDescent="0.2">
      <c r="A363" s="1">
        <v>361</v>
      </c>
      <c r="B363">
        <v>24194340</v>
      </c>
      <c r="C363" t="s">
        <v>387</v>
      </c>
      <c r="D363" t="s">
        <v>962</v>
      </c>
      <c r="E363" t="str">
        <f>""</f>
        <v/>
      </c>
      <c r="F363" t="str">
        <f>""</f>
        <v/>
      </c>
      <c r="G363">
        <v>0</v>
      </c>
      <c r="H363">
        <v>4.5</v>
      </c>
      <c r="I363" t="s">
        <v>1307</v>
      </c>
      <c r="J363" t="s">
        <v>1511</v>
      </c>
      <c r="K363">
        <v>310</v>
      </c>
      <c r="L363">
        <v>2013</v>
      </c>
      <c r="M363">
        <v>2013</v>
      </c>
      <c r="O363" t="s">
        <v>1595</v>
      </c>
      <c r="P363" t="s">
        <v>1711</v>
      </c>
      <c r="T363">
        <v>0</v>
      </c>
      <c r="W363">
        <v>0</v>
      </c>
    </row>
    <row r="364" spans="1:23" x14ac:dyDescent="0.2">
      <c r="A364" s="1">
        <v>362</v>
      </c>
      <c r="B364">
        <v>32603496</v>
      </c>
      <c r="C364" t="s">
        <v>388</v>
      </c>
      <c r="D364" t="s">
        <v>963</v>
      </c>
      <c r="E364" t="str">
        <f>"0593078411"</f>
        <v>0593078411</v>
      </c>
      <c r="F364" t="str">
        <f>"9780593078419"</f>
        <v>9780593078419</v>
      </c>
      <c r="G364">
        <v>0</v>
      </c>
      <c r="H364">
        <v>3.88</v>
      </c>
      <c r="I364" t="s">
        <v>1197</v>
      </c>
      <c r="J364" t="s">
        <v>1507</v>
      </c>
      <c r="K364">
        <v>416</v>
      </c>
      <c r="L364">
        <v>2017</v>
      </c>
      <c r="M364">
        <v>2017</v>
      </c>
      <c r="O364" t="s">
        <v>1595</v>
      </c>
      <c r="P364" t="s">
        <v>1711</v>
      </c>
      <c r="T364">
        <v>0</v>
      </c>
      <c r="W364">
        <v>0</v>
      </c>
    </row>
    <row r="365" spans="1:23" x14ac:dyDescent="0.2">
      <c r="A365" s="1">
        <v>363</v>
      </c>
      <c r="B365">
        <v>33864783</v>
      </c>
      <c r="C365" t="s">
        <v>389</v>
      </c>
      <c r="D365" t="s">
        <v>964</v>
      </c>
      <c r="E365" t="str">
        <f>"1101984430"</f>
        <v>1101984430</v>
      </c>
      <c r="F365" t="str">
        <f>"9781101984437"</f>
        <v>9781101984437</v>
      </c>
      <c r="G365">
        <v>0</v>
      </c>
      <c r="H365">
        <v>4.18</v>
      </c>
      <c r="I365" t="s">
        <v>1384</v>
      </c>
      <c r="J365" t="s">
        <v>1509</v>
      </c>
      <c r="K365">
        <v>384</v>
      </c>
      <c r="L365">
        <v>2017</v>
      </c>
      <c r="M365">
        <v>2017</v>
      </c>
      <c r="O365" t="s">
        <v>1595</v>
      </c>
      <c r="P365" t="s">
        <v>1711</v>
      </c>
      <c r="T365">
        <v>0</v>
      </c>
      <c r="W365">
        <v>0</v>
      </c>
    </row>
    <row r="366" spans="1:23" x14ac:dyDescent="0.2">
      <c r="A366" s="1">
        <v>364</v>
      </c>
      <c r="B366">
        <v>637044</v>
      </c>
      <c r="C366" t="s">
        <v>390</v>
      </c>
      <c r="D366" t="s">
        <v>965</v>
      </c>
      <c r="E366" t="str">
        <f>"1850434034"</f>
        <v>1850434034</v>
      </c>
      <c r="F366" t="str">
        <f>"9781850434030"</f>
        <v>9781850434030</v>
      </c>
      <c r="G366">
        <v>0</v>
      </c>
      <c r="H366">
        <v>4.25</v>
      </c>
      <c r="I366" t="s">
        <v>1385</v>
      </c>
      <c r="J366" t="s">
        <v>1507</v>
      </c>
      <c r="K366">
        <v>512</v>
      </c>
      <c r="L366">
        <v>2004</v>
      </c>
      <c r="M366">
        <v>1960</v>
      </c>
      <c r="O366" t="s">
        <v>1595</v>
      </c>
      <c r="P366" t="s">
        <v>1711</v>
      </c>
      <c r="T366">
        <v>0</v>
      </c>
      <c r="W366">
        <v>0</v>
      </c>
    </row>
    <row r="367" spans="1:23" x14ac:dyDescent="0.2">
      <c r="A367" s="1">
        <v>365</v>
      </c>
      <c r="B367">
        <v>3769306</v>
      </c>
      <c r="C367" t="s">
        <v>391</v>
      </c>
      <c r="D367" t="s">
        <v>966</v>
      </c>
      <c r="E367" t="str">
        <f>"0345030982"</f>
        <v>0345030982</v>
      </c>
      <c r="F367" t="str">
        <f>"9780345030986"</f>
        <v>9780345030986</v>
      </c>
      <c r="G367">
        <v>0</v>
      </c>
      <c r="H367">
        <v>4.33</v>
      </c>
      <c r="I367" t="s">
        <v>1386</v>
      </c>
      <c r="J367" t="s">
        <v>1507</v>
      </c>
      <c r="K367">
        <v>127</v>
      </c>
      <c r="L367">
        <v>1972</v>
      </c>
      <c r="M367">
        <v>1972</v>
      </c>
      <c r="O367" t="s">
        <v>1682</v>
      </c>
      <c r="P367" t="s">
        <v>1711</v>
      </c>
      <c r="T367">
        <v>0</v>
      </c>
      <c r="W367">
        <v>0</v>
      </c>
    </row>
    <row r="368" spans="1:23" x14ac:dyDescent="0.2">
      <c r="A368" s="1">
        <v>366</v>
      </c>
      <c r="B368">
        <v>23814</v>
      </c>
      <c r="C368" t="s">
        <v>392</v>
      </c>
      <c r="D368" t="s">
        <v>967</v>
      </c>
      <c r="E368" t="str">
        <f>"0812966295"</f>
        <v>0812966295</v>
      </c>
      <c r="F368" t="str">
        <f>"9780812966299"</f>
        <v>9780812966299</v>
      </c>
      <c r="G368">
        <v>4</v>
      </c>
      <c r="H368">
        <v>3.8</v>
      </c>
      <c r="I368" t="s">
        <v>1267</v>
      </c>
      <c r="J368" t="s">
        <v>1507</v>
      </c>
      <c r="K368">
        <v>264</v>
      </c>
      <c r="L368">
        <v>2002</v>
      </c>
      <c r="M368">
        <v>1885</v>
      </c>
      <c r="N368" t="s">
        <v>1549</v>
      </c>
      <c r="O368" t="s">
        <v>1628</v>
      </c>
      <c r="P368" t="s">
        <v>1713</v>
      </c>
      <c r="Q368" t="s">
        <v>1745</v>
      </c>
      <c r="T368">
        <v>1</v>
      </c>
      <c r="W368">
        <v>0</v>
      </c>
    </row>
    <row r="369" spans="1:23" x14ac:dyDescent="0.2">
      <c r="A369" s="1">
        <v>367</v>
      </c>
      <c r="B369">
        <v>206970</v>
      </c>
      <c r="C369" t="s">
        <v>393</v>
      </c>
      <c r="D369" t="s">
        <v>968</v>
      </c>
      <c r="E369" t="str">
        <f>"0792238761"</f>
        <v>0792238761</v>
      </c>
      <c r="F369" t="str">
        <f>"9780792238768"</f>
        <v>9780792238768</v>
      </c>
      <c r="G369">
        <v>0</v>
      </c>
      <c r="H369">
        <v>3.96</v>
      </c>
      <c r="I369" t="s">
        <v>1387</v>
      </c>
      <c r="J369" t="s">
        <v>1507</v>
      </c>
      <c r="K369">
        <v>472</v>
      </c>
      <c r="L369">
        <v>2005</v>
      </c>
      <c r="M369">
        <v>1897</v>
      </c>
      <c r="O369" t="s">
        <v>1670</v>
      </c>
      <c r="P369" t="s">
        <v>1711</v>
      </c>
      <c r="T369">
        <v>0</v>
      </c>
      <c r="W369">
        <v>0</v>
      </c>
    </row>
    <row r="370" spans="1:23" x14ac:dyDescent="0.2">
      <c r="A370" s="1">
        <v>368</v>
      </c>
      <c r="B370">
        <v>1049517</v>
      </c>
      <c r="C370" t="s">
        <v>394</v>
      </c>
      <c r="D370" t="s">
        <v>969</v>
      </c>
      <c r="E370" t="str">
        <f>"0792268903"</f>
        <v>0792268903</v>
      </c>
      <c r="F370" t="str">
        <f>"9780792268901"</f>
        <v>9780792268901</v>
      </c>
      <c r="G370">
        <v>0</v>
      </c>
      <c r="H370">
        <v>4.1900000000000004</v>
      </c>
      <c r="I370" t="s">
        <v>1387</v>
      </c>
      <c r="J370" t="s">
        <v>1507</v>
      </c>
      <c r="K370">
        <v>320</v>
      </c>
      <c r="L370">
        <v>2003</v>
      </c>
      <c r="M370">
        <v>1954</v>
      </c>
      <c r="O370" t="s">
        <v>1670</v>
      </c>
      <c r="P370" t="s">
        <v>1711</v>
      </c>
      <c r="T370">
        <v>0</v>
      </c>
      <c r="W370">
        <v>0</v>
      </c>
    </row>
    <row r="371" spans="1:23" x14ac:dyDescent="0.2">
      <c r="A371" s="1">
        <v>369</v>
      </c>
      <c r="B371">
        <v>7841672</v>
      </c>
      <c r="C371" t="s">
        <v>395</v>
      </c>
      <c r="D371" t="s">
        <v>970</v>
      </c>
      <c r="E371" t="str">
        <f>"1439108277"</f>
        <v>1439108277</v>
      </c>
      <c r="F371" t="str">
        <f>"9781439108277"</f>
        <v>9781439108277</v>
      </c>
      <c r="G371">
        <v>0</v>
      </c>
      <c r="H371">
        <v>4.24</v>
      </c>
      <c r="I371" t="s">
        <v>1162</v>
      </c>
      <c r="J371" t="s">
        <v>1509</v>
      </c>
      <c r="K371">
        <v>301</v>
      </c>
      <c r="L371">
        <v>2011</v>
      </c>
      <c r="M371">
        <v>2011</v>
      </c>
      <c r="O371" t="s">
        <v>1683</v>
      </c>
      <c r="P371" t="s">
        <v>1711</v>
      </c>
      <c r="T371">
        <v>0</v>
      </c>
      <c r="W371">
        <v>0</v>
      </c>
    </row>
    <row r="372" spans="1:23" x14ac:dyDescent="0.2">
      <c r="A372" s="1">
        <v>370</v>
      </c>
      <c r="B372">
        <v>568236</v>
      </c>
      <c r="C372" t="s">
        <v>396</v>
      </c>
      <c r="D372" t="s">
        <v>971</v>
      </c>
      <c r="E372" t="str">
        <f>"0345349571"</f>
        <v>0345349571</v>
      </c>
      <c r="F372" t="str">
        <f>"9780345349576"</f>
        <v>9780345349576</v>
      </c>
      <c r="G372">
        <v>0</v>
      </c>
      <c r="H372">
        <v>4.05</v>
      </c>
      <c r="I372" t="s">
        <v>1388</v>
      </c>
      <c r="J372" t="s">
        <v>1507</v>
      </c>
      <c r="K372">
        <v>677</v>
      </c>
      <c r="L372">
        <v>1987</v>
      </c>
      <c r="M372">
        <v>1978</v>
      </c>
      <c r="O372" t="s">
        <v>1683</v>
      </c>
      <c r="P372" t="s">
        <v>1711</v>
      </c>
      <c r="T372">
        <v>0</v>
      </c>
      <c r="W372">
        <v>0</v>
      </c>
    </row>
    <row r="373" spans="1:23" x14ac:dyDescent="0.2">
      <c r="A373" s="1">
        <v>371</v>
      </c>
      <c r="B373">
        <v>42954943</v>
      </c>
      <c r="C373" t="s">
        <v>397</v>
      </c>
      <c r="D373" t="s">
        <v>972</v>
      </c>
      <c r="E373" t="str">
        <f>"1642930474"</f>
        <v>1642930474</v>
      </c>
      <c r="F373" t="str">
        <f>"9781642930474"</f>
        <v>9781642930474</v>
      </c>
      <c r="G373">
        <v>0</v>
      </c>
      <c r="H373">
        <v>4.05</v>
      </c>
      <c r="I373" t="s">
        <v>1389</v>
      </c>
      <c r="J373" t="s">
        <v>1509</v>
      </c>
      <c r="K373">
        <v>240</v>
      </c>
      <c r="L373">
        <v>2019</v>
      </c>
      <c r="M373">
        <v>2019</v>
      </c>
      <c r="O373" t="s">
        <v>1684</v>
      </c>
      <c r="P373" t="s">
        <v>1711</v>
      </c>
      <c r="T373">
        <v>0</v>
      </c>
      <c r="W373">
        <v>0</v>
      </c>
    </row>
    <row r="374" spans="1:23" x14ac:dyDescent="0.2">
      <c r="A374" s="1">
        <v>372</v>
      </c>
      <c r="B374">
        <v>246041</v>
      </c>
      <c r="C374" t="s">
        <v>398</v>
      </c>
      <c r="D374" t="s">
        <v>973</v>
      </c>
      <c r="E374" t="str">
        <f>"0609807072"</f>
        <v>0609807072</v>
      </c>
      <c r="F374" t="str">
        <f>"9780609807071"</f>
        <v>9780609807071</v>
      </c>
      <c r="G374">
        <v>0</v>
      </c>
      <c r="H374">
        <v>4.1100000000000003</v>
      </c>
      <c r="I374" t="s">
        <v>1390</v>
      </c>
      <c r="J374" t="s">
        <v>1507</v>
      </c>
      <c r="K374">
        <v>688</v>
      </c>
      <c r="L374">
        <v>2001</v>
      </c>
      <c r="M374">
        <v>2000</v>
      </c>
      <c r="O374" t="s">
        <v>1685</v>
      </c>
      <c r="P374" t="s">
        <v>1711</v>
      </c>
      <c r="T374">
        <v>0</v>
      </c>
      <c r="W374">
        <v>0</v>
      </c>
    </row>
    <row r="375" spans="1:23" x14ac:dyDescent="0.2">
      <c r="A375" s="1">
        <v>373</v>
      </c>
      <c r="B375">
        <v>216363</v>
      </c>
      <c r="C375" t="s">
        <v>399</v>
      </c>
      <c r="D375" t="s">
        <v>974</v>
      </c>
      <c r="E375" t="str">
        <f>"0679740678"</f>
        <v>0679740678</v>
      </c>
      <c r="F375" t="str">
        <f>"9780679740674"</f>
        <v>9780679740674</v>
      </c>
      <c r="G375">
        <v>2</v>
      </c>
      <c r="H375">
        <v>3.62</v>
      </c>
      <c r="I375" t="s">
        <v>1167</v>
      </c>
      <c r="J375" t="s">
        <v>1507</v>
      </c>
      <c r="K375">
        <v>259</v>
      </c>
      <c r="L375">
        <v>1992</v>
      </c>
      <c r="M375">
        <v>1962</v>
      </c>
      <c r="N375" t="s">
        <v>1550</v>
      </c>
      <c r="O375" t="s">
        <v>1661</v>
      </c>
      <c r="P375" t="s">
        <v>1713</v>
      </c>
      <c r="T375">
        <v>1</v>
      </c>
      <c r="W375">
        <v>0</v>
      </c>
    </row>
    <row r="376" spans="1:23" x14ac:dyDescent="0.2">
      <c r="A376" s="1">
        <v>374</v>
      </c>
      <c r="B376">
        <v>495954</v>
      </c>
      <c r="C376" t="s">
        <v>400</v>
      </c>
      <c r="D376" t="s">
        <v>975</v>
      </c>
      <c r="E376" t="str">
        <f>"0880293934"</f>
        <v>0880293934</v>
      </c>
      <c r="F376" t="str">
        <f>"9780880293938"</f>
        <v>9780880293938</v>
      </c>
      <c r="G376">
        <v>3</v>
      </c>
      <c r="H376">
        <v>3.58</v>
      </c>
      <c r="I376" t="s">
        <v>1391</v>
      </c>
      <c r="J376" t="s">
        <v>1509</v>
      </c>
      <c r="K376">
        <v>176</v>
      </c>
      <c r="L376">
        <v>1993</v>
      </c>
      <c r="M376">
        <v>1988</v>
      </c>
      <c r="N376" t="s">
        <v>1551</v>
      </c>
      <c r="O376" t="s">
        <v>1590</v>
      </c>
      <c r="P376" t="s">
        <v>1713</v>
      </c>
      <c r="Q376" t="s">
        <v>1746</v>
      </c>
      <c r="T376">
        <v>1</v>
      </c>
      <c r="W376">
        <v>0</v>
      </c>
    </row>
    <row r="377" spans="1:23" x14ac:dyDescent="0.2">
      <c r="A377" s="1">
        <v>375</v>
      </c>
      <c r="B377">
        <v>7071759</v>
      </c>
      <c r="C377" t="s">
        <v>401</v>
      </c>
      <c r="D377" t="s">
        <v>976</v>
      </c>
      <c r="E377" t="str">
        <f>"1402766513"</f>
        <v>1402766513</v>
      </c>
      <c r="F377" t="str">
        <f>"9781402766510"</f>
        <v>9781402766510</v>
      </c>
      <c r="G377">
        <v>3</v>
      </c>
      <c r="H377">
        <v>3.87</v>
      </c>
      <c r="I377" t="s">
        <v>1392</v>
      </c>
      <c r="J377" t="s">
        <v>1509</v>
      </c>
      <c r="K377">
        <v>336</v>
      </c>
      <c r="L377">
        <v>2010</v>
      </c>
      <c r="M377">
        <v>2010</v>
      </c>
      <c r="N377" t="s">
        <v>1552</v>
      </c>
      <c r="O377" t="s">
        <v>1632</v>
      </c>
      <c r="P377" t="s">
        <v>1713</v>
      </c>
      <c r="Q377" t="s">
        <v>1747</v>
      </c>
      <c r="T377">
        <v>1</v>
      </c>
      <c r="W377">
        <v>0</v>
      </c>
    </row>
    <row r="378" spans="1:23" x14ac:dyDescent="0.2">
      <c r="A378" s="1">
        <v>376</v>
      </c>
      <c r="B378">
        <v>37415</v>
      </c>
      <c r="C378" t="s">
        <v>402</v>
      </c>
      <c r="D378" t="s">
        <v>977</v>
      </c>
      <c r="E378" t="str">
        <f>"0061120065"</f>
        <v>0061120065</v>
      </c>
      <c r="F378" t="str">
        <f>"9780061120060"</f>
        <v>9780061120060</v>
      </c>
      <c r="G378">
        <v>0</v>
      </c>
      <c r="H378">
        <v>3.94</v>
      </c>
      <c r="I378" t="s">
        <v>1393</v>
      </c>
      <c r="J378" t="s">
        <v>1507</v>
      </c>
      <c r="K378">
        <v>219</v>
      </c>
      <c r="L378">
        <v>2006</v>
      </c>
      <c r="M378">
        <v>1937</v>
      </c>
      <c r="O378" t="s">
        <v>1686</v>
      </c>
      <c r="P378" t="s">
        <v>1713</v>
      </c>
      <c r="T378">
        <v>1</v>
      </c>
      <c r="W378">
        <v>0</v>
      </c>
    </row>
    <row r="379" spans="1:23" x14ac:dyDescent="0.2">
      <c r="A379" s="1">
        <v>377</v>
      </c>
      <c r="B379">
        <v>1898</v>
      </c>
      <c r="C379" t="s">
        <v>403</v>
      </c>
      <c r="D379" t="s">
        <v>978</v>
      </c>
      <c r="E379" t="str">
        <f>"0385494785"</f>
        <v>0385494785</v>
      </c>
      <c r="F379" t="str">
        <f>"9780385494786"</f>
        <v>9780385494786</v>
      </c>
      <c r="G379">
        <v>4</v>
      </c>
      <c r="H379">
        <v>4.18</v>
      </c>
      <c r="I379" t="s">
        <v>1242</v>
      </c>
      <c r="J379" t="s">
        <v>1507</v>
      </c>
      <c r="K379">
        <v>368</v>
      </c>
      <c r="L379">
        <v>1999</v>
      </c>
      <c r="M379">
        <v>1997</v>
      </c>
      <c r="N379" t="s">
        <v>1553</v>
      </c>
      <c r="O379" t="s">
        <v>1687</v>
      </c>
      <c r="P379" t="s">
        <v>1713</v>
      </c>
      <c r="Q379" t="s">
        <v>1748</v>
      </c>
      <c r="T379">
        <v>1</v>
      </c>
      <c r="W379">
        <v>0</v>
      </c>
    </row>
    <row r="380" spans="1:23" x14ac:dyDescent="0.2">
      <c r="A380" s="1">
        <v>378</v>
      </c>
      <c r="B380">
        <v>828890</v>
      </c>
      <c r="C380" t="s">
        <v>404</v>
      </c>
      <c r="D380" t="s">
        <v>979</v>
      </c>
      <c r="E380" t="str">
        <f>"0684869683"</f>
        <v>0684869683</v>
      </c>
      <c r="F380" t="str">
        <f>"9780684869681"</f>
        <v>9780684869681</v>
      </c>
      <c r="G380">
        <v>3</v>
      </c>
      <c r="H380">
        <v>3.47</v>
      </c>
      <c r="I380" t="s">
        <v>1350</v>
      </c>
      <c r="J380" t="s">
        <v>1507</v>
      </c>
      <c r="K380">
        <v>336</v>
      </c>
      <c r="L380">
        <v>2000</v>
      </c>
      <c r="M380">
        <v>1999</v>
      </c>
      <c r="N380" t="s">
        <v>1554</v>
      </c>
      <c r="O380" t="s">
        <v>1590</v>
      </c>
      <c r="P380" t="s">
        <v>1713</v>
      </c>
      <c r="Q380" t="s">
        <v>1749</v>
      </c>
      <c r="T380">
        <v>1</v>
      </c>
      <c r="W380">
        <v>0</v>
      </c>
    </row>
    <row r="381" spans="1:23" x14ac:dyDescent="0.2">
      <c r="A381" s="1">
        <v>379</v>
      </c>
      <c r="B381">
        <v>843923</v>
      </c>
      <c r="C381" t="s">
        <v>405</v>
      </c>
      <c r="D381" t="s">
        <v>980</v>
      </c>
      <c r="E381" t="str">
        <f>"0896892972"</f>
        <v>0896892972</v>
      </c>
      <c r="F381" t="str">
        <f>"9780896892972"</f>
        <v>9780896892972</v>
      </c>
      <c r="G381">
        <v>0</v>
      </c>
      <c r="H381">
        <v>4.2699999999999996</v>
      </c>
      <c r="I381" t="s">
        <v>1394</v>
      </c>
      <c r="J381" t="s">
        <v>1507</v>
      </c>
      <c r="K381">
        <v>552</v>
      </c>
      <c r="L381">
        <v>2006</v>
      </c>
      <c r="M381">
        <v>1969</v>
      </c>
      <c r="O381" t="s">
        <v>1688</v>
      </c>
      <c r="P381" t="s">
        <v>1711</v>
      </c>
      <c r="T381">
        <v>0</v>
      </c>
      <c r="W381">
        <v>0</v>
      </c>
    </row>
    <row r="382" spans="1:23" x14ac:dyDescent="0.2">
      <c r="A382" s="1">
        <v>380</v>
      </c>
      <c r="B382">
        <v>54479</v>
      </c>
      <c r="C382" t="s">
        <v>406</v>
      </c>
      <c r="D382" t="s">
        <v>787</v>
      </c>
      <c r="E382" t="str">
        <f>"014044906X"</f>
        <v>014044906X</v>
      </c>
      <c r="F382" t="str">
        <f>"9780140449068"</f>
        <v>9780140449068</v>
      </c>
      <c r="G382">
        <v>2</v>
      </c>
      <c r="H382">
        <v>3.94</v>
      </c>
      <c r="I382" t="s">
        <v>1215</v>
      </c>
      <c r="J382" t="s">
        <v>1507</v>
      </c>
      <c r="K382">
        <v>252</v>
      </c>
      <c r="L382">
        <v>2004</v>
      </c>
      <c r="M382">
        <v>1872</v>
      </c>
      <c r="N382" t="s">
        <v>1555</v>
      </c>
      <c r="O382" t="s">
        <v>1628</v>
      </c>
      <c r="P382" t="s">
        <v>1713</v>
      </c>
      <c r="T382">
        <v>1</v>
      </c>
      <c r="W382">
        <v>0</v>
      </c>
    </row>
    <row r="383" spans="1:23" x14ac:dyDescent="0.2">
      <c r="A383" s="1">
        <v>381</v>
      </c>
      <c r="B383">
        <v>687930</v>
      </c>
      <c r="C383" t="s">
        <v>407</v>
      </c>
      <c r="D383" t="s">
        <v>981</v>
      </c>
      <c r="E383" t="str">
        <f>"0571221777"</f>
        <v>0571221777</v>
      </c>
      <c r="F383" t="str">
        <f>"9780571221776"</f>
        <v>9780571221776</v>
      </c>
      <c r="G383">
        <v>0</v>
      </c>
      <c r="H383">
        <v>3.43</v>
      </c>
      <c r="I383" t="s">
        <v>1395</v>
      </c>
      <c r="J383" t="s">
        <v>1507</v>
      </c>
      <c r="K383">
        <v>233</v>
      </c>
      <c r="L383">
        <v>2004</v>
      </c>
      <c r="M383">
        <v>1995</v>
      </c>
      <c r="O383" t="s">
        <v>1555</v>
      </c>
      <c r="P383" t="s">
        <v>1711</v>
      </c>
      <c r="T383">
        <v>0</v>
      </c>
      <c r="W383">
        <v>0</v>
      </c>
    </row>
    <row r="384" spans="1:23" x14ac:dyDescent="0.2">
      <c r="A384" s="1">
        <v>382</v>
      </c>
      <c r="B384">
        <v>42343</v>
      </c>
      <c r="C384" t="s">
        <v>408</v>
      </c>
      <c r="D384" t="s">
        <v>982</v>
      </c>
      <c r="E384" t="str">
        <f>"006097771X"</f>
        <v>006097771X</v>
      </c>
      <c r="F384" t="str">
        <f>"9780060977719"</f>
        <v>9780060977719</v>
      </c>
      <c r="G384">
        <v>0</v>
      </c>
      <c r="H384">
        <v>4.2</v>
      </c>
      <c r="I384" t="s">
        <v>1396</v>
      </c>
      <c r="J384" t="s">
        <v>1507</v>
      </c>
      <c r="K384">
        <v>432</v>
      </c>
      <c r="L384">
        <v>2000</v>
      </c>
      <c r="M384">
        <v>1998</v>
      </c>
      <c r="O384" t="s">
        <v>1689</v>
      </c>
      <c r="P384" t="s">
        <v>1711</v>
      </c>
      <c r="T384">
        <v>0</v>
      </c>
      <c r="W384">
        <v>0</v>
      </c>
    </row>
    <row r="385" spans="1:23" x14ac:dyDescent="0.2">
      <c r="A385" s="1">
        <v>383</v>
      </c>
      <c r="B385">
        <v>14568663</v>
      </c>
      <c r="C385" t="s">
        <v>409</v>
      </c>
      <c r="D385" t="s">
        <v>983</v>
      </c>
      <c r="E385" t="str">
        <f>"1907677763"</f>
        <v>1907677763</v>
      </c>
      <c r="F385" t="str">
        <f>"9781907677762"</f>
        <v>9781907677762</v>
      </c>
      <c r="G385">
        <v>0</v>
      </c>
      <c r="H385">
        <v>3.87</v>
      </c>
      <c r="I385" t="s">
        <v>1397</v>
      </c>
      <c r="J385" t="s">
        <v>1509</v>
      </c>
      <c r="K385">
        <v>256</v>
      </c>
      <c r="L385">
        <v>2012</v>
      </c>
      <c r="M385">
        <v>2012</v>
      </c>
      <c r="O385" t="s">
        <v>1690</v>
      </c>
      <c r="P385" t="s">
        <v>1711</v>
      </c>
      <c r="T385">
        <v>0</v>
      </c>
      <c r="W385">
        <v>0</v>
      </c>
    </row>
    <row r="386" spans="1:23" x14ac:dyDescent="0.2">
      <c r="A386" s="1">
        <v>384</v>
      </c>
      <c r="B386">
        <v>17681595</v>
      </c>
      <c r="C386" t="s">
        <v>410</v>
      </c>
      <c r="D386" t="s">
        <v>984</v>
      </c>
      <c r="E386" t="str">
        <f>"0988981440"</f>
        <v>0988981440</v>
      </c>
      <c r="F386" t="str">
        <f>"9780988981447"</f>
        <v>9780988981447</v>
      </c>
      <c r="G386">
        <v>2</v>
      </c>
      <c r="H386">
        <v>4.0199999999999996</v>
      </c>
      <c r="I386" t="s">
        <v>1398</v>
      </c>
      <c r="J386" t="s">
        <v>1507</v>
      </c>
      <c r="K386">
        <v>250</v>
      </c>
      <c r="L386">
        <v>2013</v>
      </c>
      <c r="M386">
        <v>1977</v>
      </c>
      <c r="N386" t="s">
        <v>1556</v>
      </c>
      <c r="O386" t="s">
        <v>1653</v>
      </c>
      <c r="P386" t="s">
        <v>1713</v>
      </c>
      <c r="Q386" t="s">
        <v>1750</v>
      </c>
      <c r="T386">
        <v>1</v>
      </c>
      <c r="W386">
        <v>0</v>
      </c>
    </row>
    <row r="387" spans="1:23" x14ac:dyDescent="0.2">
      <c r="A387" s="1">
        <v>385</v>
      </c>
      <c r="B387">
        <v>6693</v>
      </c>
      <c r="C387" t="s">
        <v>411</v>
      </c>
      <c r="D387" t="s">
        <v>985</v>
      </c>
      <c r="E387" t="str">
        <f>"0375822070"</f>
        <v>0375822070</v>
      </c>
      <c r="F387" t="str">
        <f>"9780375822070"</f>
        <v>9780375822070</v>
      </c>
      <c r="G387">
        <v>0</v>
      </c>
      <c r="H387">
        <v>4.0599999999999996</v>
      </c>
      <c r="I387" t="s">
        <v>1399</v>
      </c>
      <c r="J387" t="s">
        <v>1509</v>
      </c>
      <c r="K387">
        <v>96</v>
      </c>
      <c r="L387">
        <v>2002</v>
      </c>
      <c r="M387">
        <v>1970</v>
      </c>
      <c r="O387" t="s">
        <v>1593</v>
      </c>
      <c r="P387" t="s">
        <v>1713</v>
      </c>
      <c r="T387">
        <v>1</v>
      </c>
      <c r="W387">
        <v>0</v>
      </c>
    </row>
    <row r="388" spans="1:23" x14ac:dyDescent="0.2">
      <c r="A388" s="1">
        <v>386</v>
      </c>
      <c r="B388">
        <v>6689</v>
      </c>
      <c r="C388" t="s">
        <v>412</v>
      </c>
      <c r="D388" t="s">
        <v>985</v>
      </c>
      <c r="E388" t="str">
        <f>"0375814248"</f>
        <v>0375814248</v>
      </c>
      <c r="F388" t="str">
        <f>"9780375814242"</f>
        <v>9780375814242</v>
      </c>
      <c r="G388">
        <v>0</v>
      </c>
      <c r="H388">
        <v>4.0199999999999996</v>
      </c>
      <c r="I388" t="s">
        <v>1400</v>
      </c>
      <c r="J388" t="s">
        <v>1509</v>
      </c>
      <c r="K388">
        <v>146</v>
      </c>
      <c r="L388">
        <v>2002</v>
      </c>
      <c r="M388">
        <v>1961</v>
      </c>
      <c r="O388" t="s">
        <v>1593</v>
      </c>
      <c r="P388" t="s">
        <v>1713</v>
      </c>
      <c r="T388">
        <v>1</v>
      </c>
      <c r="W388">
        <v>0</v>
      </c>
    </row>
    <row r="389" spans="1:23" x14ac:dyDescent="0.2">
      <c r="A389" s="1">
        <v>387</v>
      </c>
      <c r="B389">
        <v>6319</v>
      </c>
      <c r="C389" t="s">
        <v>413</v>
      </c>
      <c r="D389" t="s">
        <v>985</v>
      </c>
      <c r="E389" t="str">
        <f>"0141311371"</f>
        <v>0141311371</v>
      </c>
      <c r="F389" t="str">
        <f>"9780141311371"</f>
        <v>9780141311371</v>
      </c>
      <c r="G389">
        <v>0</v>
      </c>
      <c r="H389">
        <v>4.22</v>
      </c>
      <c r="I389" t="s">
        <v>1401</v>
      </c>
      <c r="J389" t="s">
        <v>1507</v>
      </c>
      <c r="K389">
        <v>199</v>
      </c>
      <c r="L389">
        <v>2001</v>
      </c>
      <c r="M389">
        <v>1982</v>
      </c>
      <c r="O389" t="s">
        <v>1593</v>
      </c>
      <c r="P389" t="s">
        <v>1713</v>
      </c>
      <c r="T389">
        <v>1</v>
      </c>
      <c r="W389">
        <v>0</v>
      </c>
    </row>
    <row r="390" spans="1:23" x14ac:dyDescent="0.2">
      <c r="A390" s="1">
        <v>388</v>
      </c>
      <c r="B390">
        <v>39988</v>
      </c>
      <c r="C390" t="s">
        <v>414</v>
      </c>
      <c r="D390" t="s">
        <v>985</v>
      </c>
      <c r="E390" t="str">
        <f>"0141301066"</f>
        <v>0141301066</v>
      </c>
      <c r="F390" t="str">
        <f>"9780141301068"</f>
        <v>9780141301068</v>
      </c>
      <c r="G390">
        <v>0</v>
      </c>
      <c r="H390">
        <v>4.32</v>
      </c>
      <c r="I390" t="s">
        <v>1401</v>
      </c>
      <c r="J390" t="s">
        <v>1507</v>
      </c>
      <c r="K390">
        <v>240</v>
      </c>
      <c r="L390">
        <v>1998</v>
      </c>
      <c r="M390">
        <v>1988</v>
      </c>
      <c r="O390" t="s">
        <v>1593</v>
      </c>
      <c r="P390" t="s">
        <v>1713</v>
      </c>
      <c r="T390">
        <v>1</v>
      </c>
      <c r="W390">
        <v>0</v>
      </c>
    </row>
    <row r="391" spans="1:23" x14ac:dyDescent="0.2">
      <c r="A391" s="1">
        <v>389</v>
      </c>
      <c r="B391">
        <v>10176119</v>
      </c>
      <c r="C391" t="s">
        <v>415</v>
      </c>
      <c r="D391" t="s">
        <v>986</v>
      </c>
      <c r="E391" t="str">
        <f>""</f>
        <v/>
      </c>
      <c r="F391" t="str">
        <f>""</f>
        <v/>
      </c>
      <c r="G391">
        <v>0</v>
      </c>
      <c r="H391">
        <v>4.21</v>
      </c>
      <c r="I391" t="s">
        <v>1402</v>
      </c>
      <c r="J391" t="s">
        <v>1508</v>
      </c>
      <c r="K391">
        <v>9</v>
      </c>
      <c r="M391">
        <v>1961</v>
      </c>
      <c r="O391" t="s">
        <v>1557</v>
      </c>
      <c r="P391" t="s">
        <v>1711</v>
      </c>
      <c r="T391">
        <v>0</v>
      </c>
      <c r="W391">
        <v>0</v>
      </c>
    </row>
    <row r="392" spans="1:23" x14ac:dyDescent="0.2">
      <c r="A392" s="1">
        <v>390</v>
      </c>
      <c r="B392">
        <v>84981</v>
      </c>
      <c r="C392" t="s">
        <v>416</v>
      </c>
      <c r="D392" t="s">
        <v>987</v>
      </c>
      <c r="E392" t="str">
        <f>"0374480095"</f>
        <v>0374480095</v>
      </c>
      <c r="F392" t="str">
        <f>"9780374480097"</f>
        <v>9780374480097</v>
      </c>
      <c r="G392">
        <v>0</v>
      </c>
      <c r="H392">
        <v>3.87</v>
      </c>
      <c r="I392" t="s">
        <v>1346</v>
      </c>
      <c r="J392" t="s">
        <v>1507</v>
      </c>
      <c r="K392">
        <v>148</v>
      </c>
      <c r="L392">
        <v>1985</v>
      </c>
      <c r="M392">
        <v>1975</v>
      </c>
      <c r="O392" t="s">
        <v>1557</v>
      </c>
      <c r="P392" t="s">
        <v>1711</v>
      </c>
      <c r="T392">
        <v>0</v>
      </c>
      <c r="W392">
        <v>0</v>
      </c>
    </row>
    <row r="393" spans="1:23" x14ac:dyDescent="0.2">
      <c r="A393" s="1">
        <v>391</v>
      </c>
      <c r="B393">
        <v>9938498</v>
      </c>
      <c r="C393" t="s">
        <v>417</v>
      </c>
      <c r="D393" t="s">
        <v>916</v>
      </c>
      <c r="E393" t="str">
        <f>"0307408841"</f>
        <v>0307408841</v>
      </c>
      <c r="F393" t="str">
        <f>"9780307408846"</f>
        <v>9780307408846</v>
      </c>
      <c r="G393">
        <v>5</v>
      </c>
      <c r="H393">
        <v>3.84</v>
      </c>
      <c r="I393" t="s">
        <v>1343</v>
      </c>
      <c r="J393" t="s">
        <v>1509</v>
      </c>
      <c r="K393">
        <v>448</v>
      </c>
      <c r="L393">
        <v>2011</v>
      </c>
      <c r="M393">
        <v>2011</v>
      </c>
      <c r="N393" t="s">
        <v>1557</v>
      </c>
      <c r="O393" t="s">
        <v>1691</v>
      </c>
      <c r="P393" t="s">
        <v>1713</v>
      </c>
      <c r="Q393" t="s">
        <v>1751</v>
      </c>
      <c r="T393">
        <v>1</v>
      </c>
      <c r="W393">
        <v>0</v>
      </c>
    </row>
    <row r="394" spans="1:23" x14ac:dyDescent="0.2">
      <c r="A394" s="1">
        <v>392</v>
      </c>
      <c r="B394">
        <v>133394</v>
      </c>
      <c r="C394" t="s">
        <v>418</v>
      </c>
      <c r="D394" t="s">
        <v>722</v>
      </c>
      <c r="E394" t="str">
        <f>"0140184937"</f>
        <v>0140184937</v>
      </c>
      <c r="F394" t="str">
        <f>"9780140184938"</f>
        <v>9780140184938</v>
      </c>
      <c r="G394">
        <v>0</v>
      </c>
      <c r="H394">
        <v>3.94</v>
      </c>
      <c r="I394" t="s">
        <v>1403</v>
      </c>
      <c r="J394" t="s">
        <v>1507</v>
      </c>
      <c r="K394">
        <v>220</v>
      </c>
      <c r="L394">
        <v>1991</v>
      </c>
      <c r="M394">
        <v>1958</v>
      </c>
      <c r="O394" t="s">
        <v>1661</v>
      </c>
      <c r="P394" t="s">
        <v>1711</v>
      </c>
      <c r="T394">
        <v>0</v>
      </c>
      <c r="W394">
        <v>0</v>
      </c>
    </row>
    <row r="395" spans="1:23" x14ac:dyDescent="0.2">
      <c r="A395" s="1">
        <v>393</v>
      </c>
      <c r="B395">
        <v>12691</v>
      </c>
      <c r="C395" t="s">
        <v>419</v>
      </c>
      <c r="D395" t="s">
        <v>988</v>
      </c>
      <c r="E395" t="str">
        <f>"0739461192"</f>
        <v>0739461192</v>
      </c>
      <c r="F395" t="str">
        <f>"9780739461198"</f>
        <v>9780739461198</v>
      </c>
      <c r="G395">
        <v>0</v>
      </c>
      <c r="H395">
        <v>4.13</v>
      </c>
      <c r="I395" t="s">
        <v>1404</v>
      </c>
      <c r="J395" t="s">
        <v>1509</v>
      </c>
      <c r="K395">
        <v>291</v>
      </c>
      <c r="L395">
        <v>2005</v>
      </c>
      <c r="M395">
        <v>2005</v>
      </c>
      <c r="O395" t="s">
        <v>1661</v>
      </c>
      <c r="P395" t="s">
        <v>1713</v>
      </c>
      <c r="T395">
        <v>1</v>
      </c>
      <c r="W395">
        <v>0</v>
      </c>
    </row>
    <row r="396" spans="1:23" x14ac:dyDescent="0.2">
      <c r="A396" s="1">
        <v>394</v>
      </c>
      <c r="B396">
        <v>21413662</v>
      </c>
      <c r="C396" t="s">
        <v>420</v>
      </c>
      <c r="D396" t="s">
        <v>989</v>
      </c>
      <c r="E396" t="str">
        <f>"0544272994"</f>
        <v>0544272994</v>
      </c>
      <c r="F396" t="str">
        <f>"9780544272996"</f>
        <v>9780544272996</v>
      </c>
      <c r="G396">
        <v>0</v>
      </c>
      <c r="H396">
        <v>4.1399999999999997</v>
      </c>
      <c r="I396" t="s">
        <v>1232</v>
      </c>
      <c r="J396" t="s">
        <v>1509</v>
      </c>
      <c r="K396">
        <v>303</v>
      </c>
      <c r="L396">
        <v>2014</v>
      </c>
      <c r="M396">
        <v>2014</v>
      </c>
      <c r="O396" t="s">
        <v>1661</v>
      </c>
      <c r="P396" t="s">
        <v>1711</v>
      </c>
      <c r="T396">
        <v>0</v>
      </c>
      <c r="W396">
        <v>0</v>
      </c>
    </row>
    <row r="397" spans="1:23" x14ac:dyDescent="0.2">
      <c r="A397" s="1">
        <v>395</v>
      </c>
      <c r="B397">
        <v>1845</v>
      </c>
      <c r="C397" t="s">
        <v>421</v>
      </c>
      <c r="D397" t="s">
        <v>978</v>
      </c>
      <c r="E397" t="str">
        <f>"0385486804"</f>
        <v>0385486804</v>
      </c>
      <c r="F397" t="str">
        <f>"9780385486804"</f>
        <v>9780385486804</v>
      </c>
      <c r="G397">
        <v>0</v>
      </c>
      <c r="H397">
        <v>3.99</v>
      </c>
      <c r="I397" t="s">
        <v>1242</v>
      </c>
      <c r="J397" t="s">
        <v>1507</v>
      </c>
      <c r="K397">
        <v>207</v>
      </c>
      <c r="L397">
        <v>1997</v>
      </c>
      <c r="M397">
        <v>1996</v>
      </c>
      <c r="O397" t="s">
        <v>1661</v>
      </c>
      <c r="P397" t="s">
        <v>1711</v>
      </c>
      <c r="T397">
        <v>0</v>
      </c>
      <c r="W397">
        <v>0</v>
      </c>
    </row>
    <row r="398" spans="1:23" x14ac:dyDescent="0.2">
      <c r="A398" s="1">
        <v>396</v>
      </c>
      <c r="B398">
        <v>8664353</v>
      </c>
      <c r="C398" t="s">
        <v>422</v>
      </c>
      <c r="D398" t="s">
        <v>990</v>
      </c>
      <c r="E398" t="str">
        <f>"1400064163"</f>
        <v>1400064163</v>
      </c>
      <c r="F398" t="str">
        <f>"9781400064168"</f>
        <v>9781400064168</v>
      </c>
      <c r="G398">
        <v>0</v>
      </c>
      <c r="H398">
        <v>4.3600000000000003</v>
      </c>
      <c r="I398" t="s">
        <v>1191</v>
      </c>
      <c r="J398" t="s">
        <v>1509</v>
      </c>
      <c r="K398">
        <v>492</v>
      </c>
      <c r="L398">
        <v>2010</v>
      </c>
      <c r="M398">
        <v>2010</v>
      </c>
      <c r="O398" t="s">
        <v>1661</v>
      </c>
      <c r="P398" t="s">
        <v>1711</v>
      </c>
      <c r="T398">
        <v>0</v>
      </c>
      <c r="W398">
        <v>0</v>
      </c>
    </row>
    <row r="399" spans="1:23" x14ac:dyDescent="0.2">
      <c r="A399" s="1">
        <v>397</v>
      </c>
      <c r="B399">
        <v>2199</v>
      </c>
      <c r="C399" t="s">
        <v>423</v>
      </c>
      <c r="D399" t="s">
        <v>991</v>
      </c>
      <c r="E399" t="str">
        <f>"0743270754"</f>
        <v>0743270754</v>
      </c>
      <c r="F399" t="str">
        <f>"9780743270755"</f>
        <v>9780743270755</v>
      </c>
      <c r="G399">
        <v>0</v>
      </c>
      <c r="H399">
        <v>4.2699999999999996</v>
      </c>
      <c r="I399" t="s">
        <v>1245</v>
      </c>
      <c r="J399" t="s">
        <v>1507</v>
      </c>
      <c r="K399">
        <v>916</v>
      </c>
      <c r="L399">
        <v>2006</v>
      </c>
      <c r="M399">
        <v>2005</v>
      </c>
      <c r="O399" t="s">
        <v>1661</v>
      </c>
      <c r="P399" t="s">
        <v>1711</v>
      </c>
      <c r="T399">
        <v>0</v>
      </c>
      <c r="W399">
        <v>0</v>
      </c>
    </row>
    <row r="400" spans="1:23" x14ac:dyDescent="0.2">
      <c r="A400" s="1">
        <v>398</v>
      </c>
      <c r="B400">
        <v>36794252</v>
      </c>
      <c r="C400" t="s">
        <v>424</v>
      </c>
      <c r="D400" t="s">
        <v>992</v>
      </c>
      <c r="E400" t="str">
        <f>"0199646309"</f>
        <v>0199646309</v>
      </c>
      <c r="F400" t="str">
        <f>"9780199646302"</f>
        <v>9780199646302</v>
      </c>
      <c r="G400">
        <v>0</v>
      </c>
      <c r="H400">
        <v>4.05</v>
      </c>
      <c r="I400" t="s">
        <v>1186</v>
      </c>
      <c r="J400" t="s">
        <v>1509</v>
      </c>
      <c r="K400">
        <v>432</v>
      </c>
      <c r="L400">
        <v>2018</v>
      </c>
      <c r="O400" t="s">
        <v>1692</v>
      </c>
      <c r="P400" t="s">
        <v>1711</v>
      </c>
      <c r="T400">
        <v>0</v>
      </c>
      <c r="W400">
        <v>0</v>
      </c>
    </row>
    <row r="401" spans="1:23" x14ac:dyDescent="0.2">
      <c r="A401" s="1">
        <v>399</v>
      </c>
      <c r="B401">
        <v>153747</v>
      </c>
      <c r="C401" t="s">
        <v>425</v>
      </c>
      <c r="D401" t="s">
        <v>993</v>
      </c>
      <c r="E401" t="str">
        <f>"0142437247"</f>
        <v>0142437247</v>
      </c>
      <c r="F401" t="str">
        <f>"9780142437247"</f>
        <v>9780142437247</v>
      </c>
      <c r="G401">
        <v>0</v>
      </c>
      <c r="H401">
        <v>3.51</v>
      </c>
      <c r="I401" t="s">
        <v>1381</v>
      </c>
      <c r="J401" t="s">
        <v>1507</v>
      </c>
      <c r="K401">
        <v>654</v>
      </c>
      <c r="L401">
        <v>2003</v>
      </c>
      <c r="M401">
        <v>1851</v>
      </c>
      <c r="O401" t="s">
        <v>1594</v>
      </c>
      <c r="P401" t="s">
        <v>1711</v>
      </c>
      <c r="T401">
        <v>0</v>
      </c>
      <c r="W401">
        <v>0</v>
      </c>
    </row>
    <row r="402" spans="1:23" x14ac:dyDescent="0.2">
      <c r="A402" s="1">
        <v>400</v>
      </c>
      <c r="B402">
        <v>46787</v>
      </c>
      <c r="C402" t="s">
        <v>426</v>
      </c>
      <c r="D402" t="s">
        <v>994</v>
      </c>
      <c r="E402" t="str">
        <f>""</f>
        <v/>
      </c>
      <c r="F402" t="str">
        <f>""</f>
        <v/>
      </c>
      <c r="G402">
        <v>0</v>
      </c>
      <c r="H402">
        <v>3.87</v>
      </c>
      <c r="I402" t="s">
        <v>1405</v>
      </c>
      <c r="J402" t="s">
        <v>1507</v>
      </c>
      <c r="K402">
        <v>438</v>
      </c>
      <c r="L402">
        <v>1999</v>
      </c>
      <c r="M402">
        <v>1851</v>
      </c>
      <c r="O402" t="s">
        <v>1594</v>
      </c>
      <c r="P402" t="s">
        <v>1711</v>
      </c>
      <c r="T402">
        <v>0</v>
      </c>
      <c r="W402">
        <v>0</v>
      </c>
    </row>
    <row r="403" spans="1:23" x14ac:dyDescent="0.2">
      <c r="A403" s="1">
        <v>401</v>
      </c>
      <c r="B403">
        <v>890</v>
      </c>
      <c r="C403" t="s">
        <v>427</v>
      </c>
      <c r="D403" t="s">
        <v>723</v>
      </c>
      <c r="E403" t="str">
        <f>"0142000671"</f>
        <v>0142000671</v>
      </c>
      <c r="F403" t="str">
        <f>"9780142000670"</f>
        <v>9780142000670</v>
      </c>
      <c r="G403">
        <v>0</v>
      </c>
      <c r="H403">
        <v>3.88</v>
      </c>
      <c r="I403" t="s">
        <v>1174</v>
      </c>
      <c r="J403" t="s">
        <v>1507</v>
      </c>
      <c r="K403">
        <v>103</v>
      </c>
      <c r="L403">
        <v>2002</v>
      </c>
      <c r="M403">
        <v>1937</v>
      </c>
      <c r="O403" t="s">
        <v>1594</v>
      </c>
      <c r="P403" t="s">
        <v>1711</v>
      </c>
      <c r="T403">
        <v>0</v>
      </c>
      <c r="W403">
        <v>0</v>
      </c>
    </row>
    <row r="404" spans="1:23" x14ac:dyDescent="0.2">
      <c r="A404" s="1">
        <v>402</v>
      </c>
      <c r="B404">
        <v>70535</v>
      </c>
      <c r="C404" t="s">
        <v>428</v>
      </c>
      <c r="D404" t="s">
        <v>733</v>
      </c>
      <c r="E404" t="str">
        <f>"0451457994"</f>
        <v>0451457994</v>
      </c>
      <c r="F404" t="str">
        <f>"9780451457998"</f>
        <v>9780451457998</v>
      </c>
      <c r="G404">
        <v>0</v>
      </c>
      <c r="H404">
        <v>4.1500000000000004</v>
      </c>
      <c r="I404" t="s">
        <v>1406</v>
      </c>
      <c r="J404" t="s">
        <v>1507</v>
      </c>
      <c r="K404">
        <v>297</v>
      </c>
      <c r="L404">
        <v>2000</v>
      </c>
      <c r="M404">
        <v>1968</v>
      </c>
      <c r="O404" t="s">
        <v>1594</v>
      </c>
      <c r="P404" t="s">
        <v>1711</v>
      </c>
      <c r="T404">
        <v>0</v>
      </c>
      <c r="W404">
        <v>0</v>
      </c>
    </row>
    <row r="405" spans="1:23" x14ac:dyDescent="0.2">
      <c r="A405" s="1">
        <v>403</v>
      </c>
      <c r="B405">
        <v>18007564</v>
      </c>
      <c r="C405" t="s">
        <v>429</v>
      </c>
      <c r="D405" t="s">
        <v>995</v>
      </c>
      <c r="E405" t="str">
        <f>"0804139024"</f>
        <v>0804139024</v>
      </c>
      <c r="F405" t="str">
        <f>"9780804139021"</f>
        <v>9780804139021</v>
      </c>
      <c r="G405">
        <v>0</v>
      </c>
      <c r="H405">
        <v>4.4000000000000004</v>
      </c>
      <c r="I405" t="s">
        <v>1343</v>
      </c>
      <c r="J405" t="s">
        <v>1509</v>
      </c>
      <c r="K405">
        <v>384</v>
      </c>
      <c r="L405">
        <v>2014</v>
      </c>
      <c r="M405">
        <v>2012</v>
      </c>
      <c r="O405" t="s">
        <v>1594</v>
      </c>
      <c r="P405" t="s">
        <v>1711</v>
      </c>
      <c r="T405">
        <v>0</v>
      </c>
      <c r="W405">
        <v>0</v>
      </c>
    </row>
    <row r="406" spans="1:23" x14ac:dyDescent="0.2">
      <c r="A406" s="1">
        <v>404</v>
      </c>
      <c r="B406">
        <v>77270</v>
      </c>
      <c r="C406" t="s">
        <v>430</v>
      </c>
      <c r="D406" t="s">
        <v>996</v>
      </c>
      <c r="E406" t="str">
        <f>"0812504690"</f>
        <v>0812504690</v>
      </c>
      <c r="F406" t="str">
        <f>"9780812504699"</f>
        <v>9780812504699</v>
      </c>
      <c r="G406">
        <v>0</v>
      </c>
      <c r="H406">
        <v>3.92</v>
      </c>
      <c r="I406" t="s">
        <v>1407</v>
      </c>
      <c r="J406" t="s">
        <v>1507</v>
      </c>
      <c r="K406">
        <v>277</v>
      </c>
      <c r="L406">
        <v>1992</v>
      </c>
      <c r="M406">
        <v>1894</v>
      </c>
      <c r="O406" t="s">
        <v>1594</v>
      </c>
      <c r="P406" t="s">
        <v>1711</v>
      </c>
      <c r="T406">
        <v>0</v>
      </c>
      <c r="W406">
        <v>0</v>
      </c>
    </row>
    <row r="407" spans="1:23" x14ac:dyDescent="0.2">
      <c r="A407" s="1">
        <v>405</v>
      </c>
      <c r="B407">
        <v>43171395</v>
      </c>
      <c r="C407" t="s">
        <v>431</v>
      </c>
      <c r="D407" t="s">
        <v>997</v>
      </c>
      <c r="E407" t="str">
        <f>"9056918184"</f>
        <v>9056918184</v>
      </c>
      <c r="F407" t="str">
        <f>"9789056918187"</f>
        <v>9789056918187</v>
      </c>
      <c r="G407">
        <v>0</v>
      </c>
      <c r="H407">
        <v>4.21</v>
      </c>
      <c r="I407" t="s">
        <v>1408</v>
      </c>
      <c r="J407" t="s">
        <v>1507</v>
      </c>
      <c r="K407">
        <v>416</v>
      </c>
      <c r="L407">
        <v>2019</v>
      </c>
      <c r="M407">
        <v>2019</v>
      </c>
      <c r="O407" t="s">
        <v>1594</v>
      </c>
      <c r="P407" t="s">
        <v>1711</v>
      </c>
      <c r="T407">
        <v>0</v>
      </c>
      <c r="W407">
        <v>0</v>
      </c>
    </row>
    <row r="408" spans="1:23" x14ac:dyDescent="0.2">
      <c r="A408" s="1">
        <v>406</v>
      </c>
      <c r="B408">
        <v>11468377</v>
      </c>
      <c r="C408" t="s">
        <v>432</v>
      </c>
      <c r="D408" t="s">
        <v>998</v>
      </c>
      <c r="E408" t="str">
        <f>"0374275637"</f>
        <v>0374275637</v>
      </c>
      <c r="F408" t="str">
        <f>"9780374275631"</f>
        <v>9780374275631</v>
      </c>
      <c r="G408">
        <v>0</v>
      </c>
      <c r="H408">
        <v>4.16</v>
      </c>
      <c r="I408" t="s">
        <v>1176</v>
      </c>
      <c r="J408" t="s">
        <v>1509</v>
      </c>
      <c r="K408">
        <v>499</v>
      </c>
      <c r="L408">
        <v>2011</v>
      </c>
      <c r="M408">
        <v>2011</v>
      </c>
      <c r="O408" t="s">
        <v>1594</v>
      </c>
      <c r="P408" t="s">
        <v>1711</v>
      </c>
      <c r="T408">
        <v>0</v>
      </c>
      <c r="W408">
        <v>0</v>
      </c>
    </row>
    <row r="409" spans="1:23" x14ac:dyDescent="0.2">
      <c r="A409" s="1">
        <v>407</v>
      </c>
      <c r="B409">
        <v>544564</v>
      </c>
      <c r="C409" t="s">
        <v>433</v>
      </c>
      <c r="D409" t="s">
        <v>929</v>
      </c>
      <c r="E409" t="str">
        <f>"0898868874"</f>
        <v>0898868874</v>
      </c>
      <c r="F409" t="str">
        <f>"9780898868876"</f>
        <v>9780898868876</v>
      </c>
      <c r="G409">
        <v>4</v>
      </c>
      <c r="H409">
        <v>4.21</v>
      </c>
      <c r="I409" t="s">
        <v>1357</v>
      </c>
      <c r="J409" t="s">
        <v>1507</v>
      </c>
      <c r="K409">
        <v>192</v>
      </c>
      <c r="L409">
        <v>2002</v>
      </c>
      <c r="M409">
        <v>2001</v>
      </c>
      <c r="N409" t="s">
        <v>1558</v>
      </c>
      <c r="O409" t="s">
        <v>1592</v>
      </c>
      <c r="P409" t="s">
        <v>1713</v>
      </c>
      <c r="Q409" t="s">
        <v>1752</v>
      </c>
      <c r="T409">
        <v>1</v>
      </c>
      <c r="W409">
        <v>0</v>
      </c>
    </row>
    <row r="410" spans="1:23" x14ac:dyDescent="0.2">
      <c r="A410" s="1">
        <v>408</v>
      </c>
      <c r="B410">
        <v>761935</v>
      </c>
      <c r="C410" t="s">
        <v>434</v>
      </c>
      <c r="D410" t="s">
        <v>999</v>
      </c>
      <c r="E410" t="str">
        <f>"0498016641"</f>
        <v>0498016641</v>
      </c>
      <c r="F410" t="str">
        <f>"9780498016646"</f>
        <v>9780498016646</v>
      </c>
      <c r="G410">
        <v>0</v>
      </c>
      <c r="H410">
        <v>4.17</v>
      </c>
      <c r="I410" t="s">
        <v>1202</v>
      </c>
      <c r="J410" t="s">
        <v>1509</v>
      </c>
      <c r="K410">
        <v>166</v>
      </c>
      <c r="L410">
        <v>1975</v>
      </c>
      <c r="M410">
        <v>1958</v>
      </c>
      <c r="O410" t="s">
        <v>1558</v>
      </c>
      <c r="P410" t="s">
        <v>1711</v>
      </c>
      <c r="T410">
        <v>0</v>
      </c>
      <c r="W410">
        <v>0</v>
      </c>
    </row>
    <row r="411" spans="1:23" x14ac:dyDescent="0.2">
      <c r="A411" s="1">
        <v>409</v>
      </c>
      <c r="B411">
        <v>51782</v>
      </c>
      <c r="C411" t="s">
        <v>435</v>
      </c>
      <c r="D411" t="s">
        <v>1000</v>
      </c>
      <c r="E411" t="str">
        <f>"0415325102"</f>
        <v>0415325102</v>
      </c>
      <c r="F411" t="str">
        <f>"9780415325103"</f>
        <v>9780415325103</v>
      </c>
      <c r="G411">
        <v>0</v>
      </c>
      <c r="H411">
        <v>4.0199999999999996</v>
      </c>
      <c r="I411" t="s">
        <v>1409</v>
      </c>
      <c r="J411" t="s">
        <v>1507</v>
      </c>
      <c r="K411">
        <v>223</v>
      </c>
      <c r="L411">
        <v>2004</v>
      </c>
      <c r="M411">
        <v>1957</v>
      </c>
      <c r="O411" t="s">
        <v>1558</v>
      </c>
      <c r="P411" t="s">
        <v>1711</v>
      </c>
      <c r="T411">
        <v>0</v>
      </c>
      <c r="W411">
        <v>0</v>
      </c>
    </row>
    <row r="412" spans="1:23" x14ac:dyDescent="0.2">
      <c r="A412" s="1">
        <v>410</v>
      </c>
      <c r="B412">
        <v>94578</v>
      </c>
      <c r="C412" t="s">
        <v>436</v>
      </c>
      <c r="D412" t="s">
        <v>834</v>
      </c>
      <c r="E412" t="str">
        <f>"0394719859"</f>
        <v>0394719859</v>
      </c>
      <c r="F412" t="str">
        <f>"9780394719856"</f>
        <v>9780394719856</v>
      </c>
      <c r="G412">
        <v>0</v>
      </c>
      <c r="H412">
        <v>4.26</v>
      </c>
      <c r="I412" t="s">
        <v>1191</v>
      </c>
      <c r="J412" t="s">
        <v>1510</v>
      </c>
      <c r="K412">
        <v>396</v>
      </c>
      <c r="L412">
        <v>1974</v>
      </c>
      <c r="M412">
        <v>1882</v>
      </c>
      <c r="O412" t="s">
        <v>1558</v>
      </c>
      <c r="P412" t="s">
        <v>1711</v>
      </c>
      <c r="T412">
        <v>0</v>
      </c>
      <c r="W412">
        <v>0</v>
      </c>
    </row>
    <row r="413" spans="1:23" x14ac:dyDescent="0.2">
      <c r="A413" s="1">
        <v>411</v>
      </c>
      <c r="B413">
        <v>3876</v>
      </c>
      <c r="C413" t="s">
        <v>437</v>
      </c>
      <c r="D413" t="s">
        <v>765</v>
      </c>
      <c r="E413" t="str">
        <f>""</f>
        <v/>
      </c>
      <c r="F413" t="str">
        <f>""</f>
        <v/>
      </c>
      <c r="G413">
        <v>0</v>
      </c>
      <c r="H413">
        <v>3.82</v>
      </c>
      <c r="I413" t="s">
        <v>1410</v>
      </c>
      <c r="J413" t="s">
        <v>1507</v>
      </c>
      <c r="K413">
        <v>189</v>
      </c>
      <c r="L413">
        <v>1957</v>
      </c>
      <c r="M413">
        <v>1926</v>
      </c>
      <c r="O413" t="s">
        <v>1693</v>
      </c>
      <c r="P413" t="s">
        <v>1711</v>
      </c>
      <c r="T413">
        <v>0</v>
      </c>
      <c r="W413">
        <v>0</v>
      </c>
    </row>
    <row r="414" spans="1:23" x14ac:dyDescent="0.2">
      <c r="A414" s="1">
        <v>412</v>
      </c>
      <c r="B414">
        <v>10799</v>
      </c>
      <c r="C414" t="s">
        <v>438</v>
      </c>
      <c r="D414" t="s">
        <v>765</v>
      </c>
      <c r="E414" t="str">
        <f>"0099910101"</f>
        <v>0099910101</v>
      </c>
      <c r="F414" t="str">
        <f>"9780099910107"</f>
        <v>9780099910107</v>
      </c>
      <c r="G414">
        <v>0</v>
      </c>
      <c r="H414">
        <v>3.81</v>
      </c>
      <c r="I414" t="s">
        <v>1411</v>
      </c>
      <c r="J414" t="s">
        <v>1507</v>
      </c>
      <c r="K414">
        <v>293</v>
      </c>
      <c r="L414">
        <v>2004</v>
      </c>
      <c r="M414">
        <v>1929</v>
      </c>
      <c r="O414" t="s">
        <v>1693</v>
      </c>
      <c r="P414" t="s">
        <v>1711</v>
      </c>
      <c r="T414">
        <v>0</v>
      </c>
      <c r="W414">
        <v>0</v>
      </c>
    </row>
    <row r="415" spans="1:23" x14ac:dyDescent="0.2">
      <c r="A415" s="1">
        <v>413</v>
      </c>
      <c r="B415">
        <v>46170</v>
      </c>
      <c r="C415" t="s">
        <v>439</v>
      </c>
      <c r="D415" t="s">
        <v>765</v>
      </c>
      <c r="E415" t="str">
        <f>""</f>
        <v/>
      </c>
      <c r="F415" t="str">
        <f>""</f>
        <v/>
      </c>
      <c r="G415">
        <v>0</v>
      </c>
      <c r="H415">
        <v>3.97</v>
      </c>
      <c r="I415" t="s">
        <v>1226</v>
      </c>
      <c r="J415" t="s">
        <v>1507</v>
      </c>
      <c r="K415">
        <v>471</v>
      </c>
      <c r="L415">
        <v>1995</v>
      </c>
      <c r="M415">
        <v>1940</v>
      </c>
      <c r="O415" t="s">
        <v>1693</v>
      </c>
      <c r="P415" t="s">
        <v>1711</v>
      </c>
      <c r="T415">
        <v>0</v>
      </c>
      <c r="W415">
        <v>0</v>
      </c>
    </row>
    <row r="416" spans="1:23" x14ac:dyDescent="0.2">
      <c r="A416" s="1">
        <v>414</v>
      </c>
      <c r="B416">
        <v>191413</v>
      </c>
      <c r="C416" t="s">
        <v>440</v>
      </c>
      <c r="D416" t="s">
        <v>1001</v>
      </c>
      <c r="E416" t="str">
        <f>"0805076174"</f>
        <v>0805076174</v>
      </c>
      <c r="F416" t="str">
        <f>"9780805076172"</f>
        <v>9780805076172</v>
      </c>
      <c r="G416">
        <v>0</v>
      </c>
      <c r="H416">
        <v>4.13</v>
      </c>
      <c r="I416" t="s">
        <v>1412</v>
      </c>
      <c r="J416" t="s">
        <v>1507</v>
      </c>
      <c r="K416">
        <v>688</v>
      </c>
      <c r="L416">
        <v>2004</v>
      </c>
      <c r="M416">
        <v>1994</v>
      </c>
      <c r="O416" t="s">
        <v>1545</v>
      </c>
      <c r="P416" t="s">
        <v>1711</v>
      </c>
      <c r="T416">
        <v>0</v>
      </c>
      <c r="W416">
        <v>0</v>
      </c>
    </row>
    <row r="417" spans="1:23" x14ac:dyDescent="0.2">
      <c r="A417" s="1">
        <v>415</v>
      </c>
      <c r="B417">
        <v>8642478</v>
      </c>
      <c r="C417" t="s">
        <v>441</v>
      </c>
      <c r="D417" t="s">
        <v>1002</v>
      </c>
      <c r="E417" t="str">
        <f>"0810870649"</f>
        <v>0810870649</v>
      </c>
      <c r="F417" t="str">
        <f>"9780810870642"</f>
        <v>9780810870642</v>
      </c>
      <c r="G417">
        <v>4</v>
      </c>
      <c r="H417">
        <v>3.5</v>
      </c>
      <c r="I417" t="s">
        <v>1413</v>
      </c>
      <c r="J417" t="s">
        <v>1508</v>
      </c>
      <c r="K417">
        <v>402</v>
      </c>
      <c r="L417">
        <v>2009</v>
      </c>
      <c r="M417">
        <v>2009</v>
      </c>
      <c r="O417" t="s">
        <v>1694</v>
      </c>
      <c r="P417" t="s">
        <v>1713</v>
      </c>
      <c r="Q417" t="s">
        <v>1753</v>
      </c>
      <c r="T417">
        <v>1</v>
      </c>
      <c r="W417">
        <v>0</v>
      </c>
    </row>
    <row r="418" spans="1:23" x14ac:dyDescent="0.2">
      <c r="A418" s="1">
        <v>416</v>
      </c>
      <c r="B418">
        <v>694886</v>
      </c>
      <c r="C418" t="s">
        <v>442</v>
      </c>
      <c r="D418" t="s">
        <v>1003</v>
      </c>
      <c r="E418" t="str">
        <f>"0684855720"</f>
        <v>0684855720</v>
      </c>
      <c r="F418" t="str">
        <f>"9780684855721"</f>
        <v>9780684855721</v>
      </c>
      <c r="G418">
        <v>0</v>
      </c>
      <c r="H418">
        <v>3.87</v>
      </c>
      <c r="I418" t="s">
        <v>1239</v>
      </c>
      <c r="J418" t="s">
        <v>1507</v>
      </c>
      <c r="K418">
        <v>1151</v>
      </c>
      <c r="L418">
        <v>2000</v>
      </c>
      <c r="M418">
        <v>1998</v>
      </c>
      <c r="O418" t="s">
        <v>1691</v>
      </c>
      <c r="P418" t="s">
        <v>1711</v>
      </c>
      <c r="T418">
        <v>0</v>
      </c>
      <c r="W418">
        <v>0</v>
      </c>
    </row>
    <row r="419" spans="1:23" x14ac:dyDescent="0.2">
      <c r="A419" s="1">
        <v>417</v>
      </c>
      <c r="B419">
        <v>259657</v>
      </c>
      <c r="C419" t="s">
        <v>443</v>
      </c>
      <c r="D419" t="s">
        <v>1003</v>
      </c>
      <c r="E419" t="str">
        <f>"0517639114"</f>
        <v>0517639114</v>
      </c>
      <c r="F419" t="str">
        <f>"9780517639115"</f>
        <v>9780517639115</v>
      </c>
      <c r="G419">
        <v>0</v>
      </c>
      <c r="H419">
        <v>3.88</v>
      </c>
      <c r="I419" t="s">
        <v>1414</v>
      </c>
      <c r="J419" t="s">
        <v>1509</v>
      </c>
      <c r="K419">
        <v>1298</v>
      </c>
      <c r="L419">
        <v>1987</v>
      </c>
      <c r="M419">
        <v>1979</v>
      </c>
      <c r="O419" t="s">
        <v>1691</v>
      </c>
      <c r="P419" t="s">
        <v>1711</v>
      </c>
      <c r="T419">
        <v>0</v>
      </c>
      <c r="W419">
        <v>0</v>
      </c>
    </row>
    <row r="420" spans="1:23" x14ac:dyDescent="0.2">
      <c r="A420" s="1">
        <v>418</v>
      </c>
      <c r="B420">
        <v>1414134</v>
      </c>
      <c r="C420" t="s">
        <v>444</v>
      </c>
      <c r="D420" t="s">
        <v>1003</v>
      </c>
      <c r="E420" t="str">
        <f>"0718118685"</f>
        <v>0718118685</v>
      </c>
      <c r="F420" t="str">
        <f>"9780718118686"</f>
        <v>9780718118686</v>
      </c>
      <c r="G420">
        <v>0</v>
      </c>
      <c r="H420">
        <v>3.9</v>
      </c>
      <c r="I420" t="s">
        <v>1415</v>
      </c>
      <c r="J420" t="s">
        <v>1509</v>
      </c>
      <c r="K420">
        <v>1521</v>
      </c>
      <c r="L420">
        <v>1979</v>
      </c>
      <c r="M420">
        <v>1979</v>
      </c>
      <c r="O420" t="s">
        <v>1691</v>
      </c>
      <c r="P420" t="s">
        <v>1711</v>
      </c>
      <c r="T420">
        <v>0</v>
      </c>
      <c r="W420">
        <v>0</v>
      </c>
    </row>
    <row r="421" spans="1:23" x14ac:dyDescent="0.2">
      <c r="A421" s="1">
        <v>419</v>
      </c>
      <c r="B421">
        <v>35031085</v>
      </c>
      <c r="C421" t="s">
        <v>445</v>
      </c>
      <c r="D421" t="s">
        <v>1004</v>
      </c>
      <c r="E421" t="str">
        <f>"0143131842"</f>
        <v>0143131842</v>
      </c>
      <c r="F421" t="str">
        <f>"9780143131847"</f>
        <v>9780143131847</v>
      </c>
      <c r="G421">
        <v>0</v>
      </c>
      <c r="H421">
        <v>3.81</v>
      </c>
      <c r="I421" t="s">
        <v>1213</v>
      </c>
      <c r="J421" t="s">
        <v>1507</v>
      </c>
      <c r="K421">
        <v>288</v>
      </c>
      <c r="L421">
        <v>2018</v>
      </c>
      <c r="M421">
        <v>1818</v>
      </c>
      <c r="O421" t="s">
        <v>1592</v>
      </c>
      <c r="P421" t="s">
        <v>1713</v>
      </c>
      <c r="T421">
        <v>1</v>
      </c>
      <c r="W421">
        <v>0</v>
      </c>
    </row>
    <row r="422" spans="1:23" x14ac:dyDescent="0.2">
      <c r="A422" s="1">
        <v>420</v>
      </c>
      <c r="B422">
        <v>39334805</v>
      </c>
      <c r="C422" t="s">
        <v>446</v>
      </c>
      <c r="D422" t="s">
        <v>1005</v>
      </c>
      <c r="E422" t="str">
        <f>""</f>
        <v/>
      </c>
      <c r="F422" t="str">
        <f>""</f>
        <v/>
      </c>
      <c r="G422">
        <v>0</v>
      </c>
      <c r="H422">
        <v>4.1500000000000004</v>
      </c>
      <c r="I422" t="s">
        <v>1324</v>
      </c>
      <c r="J422" t="s">
        <v>1511</v>
      </c>
      <c r="K422">
        <v>281</v>
      </c>
      <c r="L422">
        <v>2018</v>
      </c>
      <c r="O422" t="s">
        <v>1592</v>
      </c>
      <c r="P422" t="s">
        <v>1711</v>
      </c>
      <c r="T422">
        <v>0</v>
      </c>
      <c r="W422">
        <v>0</v>
      </c>
    </row>
    <row r="423" spans="1:23" x14ac:dyDescent="0.2">
      <c r="A423" s="1">
        <v>421</v>
      </c>
      <c r="B423">
        <v>42585634</v>
      </c>
      <c r="C423" t="s">
        <v>447</v>
      </c>
      <c r="D423" t="s">
        <v>1006</v>
      </c>
      <c r="E423" t="str">
        <f>"1786995352"</f>
        <v>1786995352</v>
      </c>
      <c r="F423" t="str">
        <f>"9781786995353"</f>
        <v>9781786995353</v>
      </c>
      <c r="G423">
        <v>0</v>
      </c>
      <c r="H423">
        <v>4.1399999999999997</v>
      </c>
      <c r="I423" t="s">
        <v>1416</v>
      </c>
      <c r="J423" t="s">
        <v>1509</v>
      </c>
      <c r="K423">
        <v>400</v>
      </c>
      <c r="L423">
        <v>2019</v>
      </c>
      <c r="M423">
        <v>2019</v>
      </c>
      <c r="O423" t="s">
        <v>1592</v>
      </c>
      <c r="P423" t="s">
        <v>1711</v>
      </c>
      <c r="T423">
        <v>0</v>
      </c>
      <c r="W423">
        <v>0</v>
      </c>
    </row>
    <row r="424" spans="1:23" x14ac:dyDescent="0.2">
      <c r="A424" s="1">
        <v>422</v>
      </c>
      <c r="B424">
        <v>28862</v>
      </c>
      <c r="C424" t="s">
        <v>448</v>
      </c>
      <c r="D424" t="s">
        <v>1007</v>
      </c>
      <c r="E424" t="str">
        <f>"0937832383"</f>
        <v>0937832383</v>
      </c>
      <c r="F424" t="str">
        <f>"9780937832387"</f>
        <v>9780937832387</v>
      </c>
      <c r="G424">
        <v>0</v>
      </c>
      <c r="H424">
        <v>3.82</v>
      </c>
      <c r="I424" t="s">
        <v>1417</v>
      </c>
      <c r="J424" t="s">
        <v>1507</v>
      </c>
      <c r="K424">
        <v>140</v>
      </c>
      <c r="L424">
        <v>2003</v>
      </c>
      <c r="M424">
        <v>1532</v>
      </c>
      <c r="O424" t="s">
        <v>1559</v>
      </c>
      <c r="P424" t="s">
        <v>1711</v>
      </c>
      <c r="T424">
        <v>0</v>
      </c>
      <c r="W424">
        <v>0</v>
      </c>
    </row>
    <row r="425" spans="1:23" x14ac:dyDescent="0.2">
      <c r="A425" s="1">
        <v>423</v>
      </c>
      <c r="B425">
        <v>8707112</v>
      </c>
      <c r="C425" t="s">
        <v>449</v>
      </c>
      <c r="D425" t="s">
        <v>1008</v>
      </c>
      <c r="E425" t="str">
        <f>"1887368019"</f>
        <v>1887368019</v>
      </c>
      <c r="F425" t="str">
        <f>"9781887368018"</f>
        <v>9781887368018</v>
      </c>
      <c r="G425">
        <v>0</v>
      </c>
      <c r="H425">
        <v>4.07</v>
      </c>
      <c r="I425" t="s">
        <v>1418</v>
      </c>
      <c r="J425" t="s">
        <v>1513</v>
      </c>
      <c r="K425">
        <v>258</v>
      </c>
      <c r="L425">
        <v>1995</v>
      </c>
      <c r="M425">
        <v>1954</v>
      </c>
      <c r="O425" t="s">
        <v>1559</v>
      </c>
      <c r="P425" t="s">
        <v>1711</v>
      </c>
      <c r="T425">
        <v>0</v>
      </c>
      <c r="W425">
        <v>0</v>
      </c>
    </row>
    <row r="426" spans="1:23" x14ac:dyDescent="0.2">
      <c r="A426" s="1">
        <v>424</v>
      </c>
      <c r="B426">
        <v>83596</v>
      </c>
      <c r="C426" t="s">
        <v>450</v>
      </c>
      <c r="D426" t="s">
        <v>846</v>
      </c>
      <c r="E426" t="str">
        <f>"0385199732"</f>
        <v>0385199732</v>
      </c>
      <c r="F426" t="str">
        <f>"9780385199735"</f>
        <v>9780385199735</v>
      </c>
      <c r="G426">
        <v>0</v>
      </c>
      <c r="H426">
        <v>4.18</v>
      </c>
      <c r="I426" t="s">
        <v>1373</v>
      </c>
      <c r="J426" t="s">
        <v>1507</v>
      </c>
      <c r="K426">
        <v>299</v>
      </c>
      <c r="L426">
        <v>1987</v>
      </c>
      <c r="M426">
        <v>1986</v>
      </c>
      <c r="O426" t="s">
        <v>1559</v>
      </c>
      <c r="P426" t="s">
        <v>1711</v>
      </c>
      <c r="T426">
        <v>0</v>
      </c>
      <c r="W426">
        <v>0</v>
      </c>
    </row>
    <row r="427" spans="1:23" x14ac:dyDescent="0.2">
      <c r="A427" s="1">
        <v>425</v>
      </c>
      <c r="B427">
        <v>16343</v>
      </c>
      <c r="C427" t="s">
        <v>451</v>
      </c>
      <c r="D427" t="s">
        <v>953</v>
      </c>
      <c r="E427" t="str">
        <f>"0646418432"</f>
        <v>0646418432</v>
      </c>
      <c r="F427" t="str">
        <f>"9780646418438"</f>
        <v>9780646418438</v>
      </c>
      <c r="G427">
        <v>0</v>
      </c>
      <c r="H427">
        <v>3.99</v>
      </c>
      <c r="I427" t="s">
        <v>1419</v>
      </c>
      <c r="J427" t="s">
        <v>1507</v>
      </c>
      <c r="K427">
        <v>121</v>
      </c>
      <c r="L427">
        <v>2002</v>
      </c>
      <c r="M427">
        <v>1920</v>
      </c>
      <c r="O427" t="s">
        <v>1559</v>
      </c>
      <c r="P427" t="s">
        <v>1711</v>
      </c>
      <c r="T427">
        <v>0</v>
      </c>
      <c r="W427">
        <v>0</v>
      </c>
    </row>
    <row r="428" spans="1:23" x14ac:dyDescent="0.2">
      <c r="A428" s="1">
        <v>426</v>
      </c>
      <c r="B428">
        <v>88431</v>
      </c>
      <c r="C428" t="s">
        <v>452</v>
      </c>
      <c r="D428" t="s">
        <v>788</v>
      </c>
      <c r="E428" t="str">
        <f>"0964920514"</f>
        <v>0964920514</v>
      </c>
      <c r="F428" t="str">
        <f>"9780964920514"</f>
        <v>9780964920514</v>
      </c>
      <c r="G428">
        <v>0</v>
      </c>
      <c r="H428">
        <v>4.32</v>
      </c>
      <c r="I428" t="s">
        <v>1420</v>
      </c>
      <c r="J428" t="s">
        <v>1507</v>
      </c>
      <c r="K428">
        <v>395</v>
      </c>
      <c r="L428">
        <v>2004</v>
      </c>
      <c r="M428">
        <v>2004</v>
      </c>
      <c r="O428" t="s">
        <v>1559</v>
      </c>
      <c r="P428" t="s">
        <v>1711</v>
      </c>
      <c r="T428">
        <v>0</v>
      </c>
      <c r="W428">
        <v>0</v>
      </c>
    </row>
    <row r="429" spans="1:23" x14ac:dyDescent="0.2">
      <c r="A429" s="1">
        <v>427</v>
      </c>
      <c r="B429">
        <v>6178648</v>
      </c>
      <c r="C429" t="s">
        <v>453</v>
      </c>
      <c r="D429" t="s">
        <v>1009</v>
      </c>
      <c r="E429" t="str">
        <f>"0385523904"</f>
        <v>0385523904</v>
      </c>
      <c r="F429" t="str">
        <f>"9780385523905"</f>
        <v>9780385523905</v>
      </c>
      <c r="G429">
        <v>5</v>
      </c>
      <c r="H429">
        <v>4.42</v>
      </c>
      <c r="I429" t="s">
        <v>1421</v>
      </c>
      <c r="J429" t="s">
        <v>1509</v>
      </c>
      <c r="K429">
        <v>316</v>
      </c>
      <c r="L429">
        <v>2009</v>
      </c>
      <c r="M429">
        <v>2009</v>
      </c>
      <c r="N429" t="s">
        <v>1559</v>
      </c>
      <c r="O429" t="s">
        <v>1695</v>
      </c>
      <c r="P429" t="s">
        <v>1713</v>
      </c>
      <c r="Q429" t="s">
        <v>1754</v>
      </c>
      <c r="T429">
        <v>1</v>
      </c>
      <c r="W429">
        <v>0</v>
      </c>
    </row>
    <row r="430" spans="1:23" x14ac:dyDescent="0.2">
      <c r="A430" s="1">
        <v>428</v>
      </c>
      <c r="B430">
        <v>6900</v>
      </c>
      <c r="C430" t="s">
        <v>454</v>
      </c>
      <c r="D430" t="s">
        <v>1010</v>
      </c>
      <c r="E430" t="str">
        <f>"0751529818"</f>
        <v>0751529818</v>
      </c>
      <c r="F430" t="str">
        <f>"9780751529814"</f>
        <v>9780751529814</v>
      </c>
      <c r="G430">
        <v>1</v>
      </c>
      <c r="H430">
        <v>4.1100000000000003</v>
      </c>
      <c r="I430" t="s">
        <v>1422</v>
      </c>
      <c r="J430" t="s">
        <v>1507</v>
      </c>
      <c r="K430">
        <v>210</v>
      </c>
      <c r="L430">
        <v>2000</v>
      </c>
      <c r="M430">
        <v>1997</v>
      </c>
      <c r="N430" t="s">
        <v>1559</v>
      </c>
      <c r="O430" t="s">
        <v>1591</v>
      </c>
      <c r="P430" t="s">
        <v>1713</v>
      </c>
      <c r="T430">
        <v>1</v>
      </c>
      <c r="W430">
        <v>0</v>
      </c>
    </row>
    <row r="431" spans="1:23" x14ac:dyDescent="0.2">
      <c r="A431" s="1">
        <v>429</v>
      </c>
      <c r="B431">
        <v>57981</v>
      </c>
      <c r="C431" t="s">
        <v>455</v>
      </c>
      <c r="D431" t="s">
        <v>1011</v>
      </c>
      <c r="E431" t="str">
        <f>"0743284550"</f>
        <v>0743284550</v>
      </c>
      <c r="F431" t="str">
        <f>"9780743284554"</f>
        <v>9780743284554</v>
      </c>
      <c r="G431">
        <v>0</v>
      </c>
      <c r="H431">
        <v>3.56</v>
      </c>
      <c r="I431" t="s">
        <v>1162</v>
      </c>
      <c r="J431" t="s">
        <v>1507</v>
      </c>
      <c r="K431">
        <v>464</v>
      </c>
      <c r="L431">
        <v>2006</v>
      </c>
      <c r="M431">
        <v>1992</v>
      </c>
      <c r="O431" t="s">
        <v>1591</v>
      </c>
      <c r="P431" t="s">
        <v>1711</v>
      </c>
      <c r="T431">
        <v>0</v>
      </c>
      <c r="W431">
        <v>0</v>
      </c>
    </row>
    <row r="432" spans="1:23" x14ac:dyDescent="0.2">
      <c r="A432" s="1">
        <v>430</v>
      </c>
      <c r="B432">
        <v>475</v>
      </c>
      <c r="C432" t="s">
        <v>456</v>
      </c>
      <c r="D432" t="s">
        <v>1012</v>
      </c>
      <c r="E432" t="str">
        <f>"0143036556"</f>
        <v>0143036556</v>
      </c>
      <c r="F432" t="str">
        <f>"9780143036555"</f>
        <v>9780143036555</v>
      </c>
      <c r="G432">
        <v>0</v>
      </c>
      <c r="H432">
        <v>3.92</v>
      </c>
      <c r="I432" t="s">
        <v>1423</v>
      </c>
      <c r="J432" t="s">
        <v>1507</v>
      </c>
      <c r="K432">
        <v>608</v>
      </c>
      <c r="L432">
        <v>2005</v>
      </c>
      <c r="M432">
        <v>2004</v>
      </c>
      <c r="O432" t="s">
        <v>1591</v>
      </c>
      <c r="P432" t="s">
        <v>1711</v>
      </c>
      <c r="T432">
        <v>0</v>
      </c>
      <c r="W432">
        <v>0</v>
      </c>
    </row>
    <row r="433" spans="1:23" x14ac:dyDescent="0.2">
      <c r="A433" s="1">
        <v>431</v>
      </c>
      <c r="B433">
        <v>35133922</v>
      </c>
      <c r="C433" t="s">
        <v>457</v>
      </c>
      <c r="D433" t="s">
        <v>1013</v>
      </c>
      <c r="E433" t="str">
        <f>""</f>
        <v/>
      </c>
      <c r="F433" t="str">
        <f>""</f>
        <v/>
      </c>
      <c r="G433">
        <v>0</v>
      </c>
      <c r="H433">
        <v>4.46</v>
      </c>
      <c r="I433" t="s">
        <v>1191</v>
      </c>
      <c r="J433" t="s">
        <v>1509</v>
      </c>
      <c r="K433">
        <v>334</v>
      </c>
      <c r="L433">
        <v>2018</v>
      </c>
      <c r="M433">
        <v>2018</v>
      </c>
      <c r="O433" t="s">
        <v>1591</v>
      </c>
      <c r="P433" t="s">
        <v>1711</v>
      </c>
      <c r="T433">
        <v>0</v>
      </c>
      <c r="W433">
        <v>0</v>
      </c>
    </row>
    <row r="434" spans="1:23" x14ac:dyDescent="0.2">
      <c r="A434" s="1">
        <v>432</v>
      </c>
      <c r="B434">
        <v>1842</v>
      </c>
      <c r="C434" t="s">
        <v>458</v>
      </c>
      <c r="D434" t="s">
        <v>1012</v>
      </c>
      <c r="E434" t="str">
        <f>"0739467352"</f>
        <v>0739467352</v>
      </c>
      <c r="F434" t="str">
        <f>"9780739467350"</f>
        <v>9780739467350</v>
      </c>
      <c r="G434">
        <v>0</v>
      </c>
      <c r="H434">
        <v>4.03</v>
      </c>
      <c r="I434" t="s">
        <v>1285</v>
      </c>
      <c r="J434" t="s">
        <v>1507</v>
      </c>
      <c r="K434">
        <v>425</v>
      </c>
      <c r="L434">
        <v>2005</v>
      </c>
      <c r="M434">
        <v>1997</v>
      </c>
      <c r="O434" t="s">
        <v>1591</v>
      </c>
      <c r="P434" t="s">
        <v>1711</v>
      </c>
      <c r="T434">
        <v>0</v>
      </c>
      <c r="W434">
        <v>0</v>
      </c>
    </row>
    <row r="435" spans="1:23" x14ac:dyDescent="0.2">
      <c r="A435" s="1">
        <v>433</v>
      </c>
      <c r="B435">
        <v>1202</v>
      </c>
      <c r="C435" t="s">
        <v>459</v>
      </c>
      <c r="D435" t="s">
        <v>685</v>
      </c>
      <c r="E435" t="str">
        <f>"0061234001"</f>
        <v>0061234001</v>
      </c>
      <c r="F435" t="str">
        <f>"9780061234002"</f>
        <v>9780061234002</v>
      </c>
      <c r="G435">
        <v>0</v>
      </c>
      <c r="H435">
        <v>3.98</v>
      </c>
      <c r="I435" t="s">
        <v>1345</v>
      </c>
      <c r="J435" t="s">
        <v>1509</v>
      </c>
      <c r="K435">
        <v>320</v>
      </c>
      <c r="L435">
        <v>2006</v>
      </c>
      <c r="M435">
        <v>2005</v>
      </c>
      <c r="O435" t="s">
        <v>1591</v>
      </c>
      <c r="P435" t="s">
        <v>1711</v>
      </c>
      <c r="T435">
        <v>0</v>
      </c>
      <c r="W435">
        <v>0</v>
      </c>
    </row>
    <row r="436" spans="1:23" x14ac:dyDescent="0.2">
      <c r="A436" s="1">
        <v>434</v>
      </c>
      <c r="B436">
        <v>168668</v>
      </c>
      <c r="C436" t="s">
        <v>460</v>
      </c>
      <c r="D436" t="s">
        <v>1014</v>
      </c>
      <c r="E436" t="str">
        <f>"0684833395"</f>
        <v>0684833395</v>
      </c>
      <c r="F436" t="str">
        <f>"9780684833392"</f>
        <v>9780684833392</v>
      </c>
      <c r="G436">
        <v>1</v>
      </c>
      <c r="H436">
        <v>3.98</v>
      </c>
      <c r="I436" t="s">
        <v>1424</v>
      </c>
      <c r="J436" t="s">
        <v>1507</v>
      </c>
      <c r="K436">
        <v>453</v>
      </c>
      <c r="L436">
        <v>2004</v>
      </c>
      <c r="M436">
        <v>1961</v>
      </c>
      <c r="O436" t="s">
        <v>1587</v>
      </c>
      <c r="P436" t="s">
        <v>1713</v>
      </c>
      <c r="T436">
        <v>1</v>
      </c>
      <c r="W436">
        <v>0</v>
      </c>
    </row>
    <row r="437" spans="1:23" x14ac:dyDescent="0.2">
      <c r="A437" s="1">
        <v>435</v>
      </c>
      <c r="B437">
        <v>6772577</v>
      </c>
      <c r="C437" t="s">
        <v>461</v>
      </c>
      <c r="D437" t="s">
        <v>1015</v>
      </c>
      <c r="E437" t="str">
        <f>"1933633913"</f>
        <v>1933633913</v>
      </c>
      <c r="F437" t="str">
        <f>"9781933633916"</f>
        <v>9781933633916</v>
      </c>
      <c r="G437">
        <v>0</v>
      </c>
      <c r="H437">
        <v>3.91</v>
      </c>
      <c r="I437" t="s">
        <v>1425</v>
      </c>
      <c r="J437" t="s">
        <v>1509</v>
      </c>
      <c r="K437">
        <v>208</v>
      </c>
      <c r="L437">
        <v>2010</v>
      </c>
      <c r="M437">
        <v>2010</v>
      </c>
      <c r="O437" t="s">
        <v>1695</v>
      </c>
      <c r="P437" t="s">
        <v>1711</v>
      </c>
      <c r="T437">
        <v>0</v>
      </c>
      <c r="W437">
        <v>0</v>
      </c>
    </row>
    <row r="438" spans="1:23" x14ac:dyDescent="0.2">
      <c r="A438" s="1">
        <v>436</v>
      </c>
      <c r="B438">
        <v>18122</v>
      </c>
      <c r="C438" t="s">
        <v>462</v>
      </c>
      <c r="D438" t="s">
        <v>1016</v>
      </c>
      <c r="E438" t="str">
        <f>"0440238153"</f>
        <v>0440238153</v>
      </c>
      <c r="F438" t="str">
        <f>"9780440238157"</f>
        <v>9780440238157</v>
      </c>
      <c r="G438">
        <v>0</v>
      </c>
      <c r="H438">
        <v>4.08</v>
      </c>
      <c r="I438" t="s">
        <v>1426</v>
      </c>
      <c r="J438" t="s">
        <v>1510</v>
      </c>
      <c r="K438">
        <v>467</v>
      </c>
      <c r="L438">
        <v>2003</v>
      </c>
      <c r="M438">
        <v>2000</v>
      </c>
      <c r="O438" t="s">
        <v>1560</v>
      </c>
      <c r="P438" t="s">
        <v>1713</v>
      </c>
      <c r="T438">
        <v>1</v>
      </c>
      <c r="W438">
        <v>0</v>
      </c>
    </row>
    <row r="439" spans="1:23" x14ac:dyDescent="0.2">
      <c r="A439" s="1">
        <v>437</v>
      </c>
      <c r="B439">
        <v>119322</v>
      </c>
      <c r="C439" t="s">
        <v>463</v>
      </c>
      <c r="D439" t="s">
        <v>1016</v>
      </c>
      <c r="E439" t="str">
        <f>"0679879242"</f>
        <v>0679879242</v>
      </c>
      <c r="F439" t="str">
        <f>"9780679879244"</f>
        <v>9780679879244</v>
      </c>
      <c r="G439">
        <v>0</v>
      </c>
      <c r="H439">
        <v>3.99</v>
      </c>
      <c r="I439" t="s">
        <v>1427</v>
      </c>
      <c r="J439" t="s">
        <v>1509</v>
      </c>
      <c r="K439">
        <v>399</v>
      </c>
      <c r="L439">
        <v>1996</v>
      </c>
      <c r="M439">
        <v>1995</v>
      </c>
      <c r="O439" t="s">
        <v>1560</v>
      </c>
      <c r="P439" t="s">
        <v>1713</v>
      </c>
      <c r="T439">
        <v>1</v>
      </c>
      <c r="W439">
        <v>0</v>
      </c>
    </row>
    <row r="440" spans="1:23" x14ac:dyDescent="0.2">
      <c r="A440" s="1">
        <v>438</v>
      </c>
      <c r="B440">
        <v>13324841</v>
      </c>
      <c r="C440" t="s">
        <v>464</v>
      </c>
      <c r="D440" t="s">
        <v>1017</v>
      </c>
      <c r="E440" t="str">
        <f>"0547887205"</f>
        <v>0547887205</v>
      </c>
      <c r="F440" t="str">
        <f>"9780547887203"</f>
        <v>9780547887203</v>
      </c>
      <c r="G440">
        <v>3</v>
      </c>
      <c r="H440">
        <v>3.98</v>
      </c>
      <c r="I440" t="s">
        <v>1227</v>
      </c>
      <c r="J440" t="s">
        <v>1509</v>
      </c>
      <c r="K440">
        <v>393</v>
      </c>
      <c r="L440">
        <v>2012</v>
      </c>
      <c r="M440">
        <v>2012</v>
      </c>
      <c r="N440" t="s">
        <v>1560</v>
      </c>
      <c r="O440" t="s">
        <v>1590</v>
      </c>
      <c r="P440" t="s">
        <v>1713</v>
      </c>
      <c r="T440">
        <v>1</v>
      </c>
      <c r="W440">
        <v>0</v>
      </c>
    </row>
    <row r="441" spans="1:23" x14ac:dyDescent="0.2">
      <c r="A441" s="1">
        <v>439</v>
      </c>
      <c r="B441">
        <v>12931</v>
      </c>
      <c r="C441" t="s">
        <v>465</v>
      </c>
      <c r="D441" t="s">
        <v>1017</v>
      </c>
      <c r="E441" t="str">
        <f>"0618685502"</f>
        <v>0618685502</v>
      </c>
      <c r="F441" t="str">
        <f>"9780618685509"</f>
        <v>9780618685509</v>
      </c>
      <c r="G441">
        <v>0</v>
      </c>
      <c r="H441">
        <v>3.9</v>
      </c>
      <c r="I441" t="s">
        <v>1227</v>
      </c>
      <c r="J441" t="s">
        <v>1509</v>
      </c>
      <c r="K441">
        <v>144</v>
      </c>
      <c r="L441">
        <v>2006</v>
      </c>
      <c r="M441">
        <v>2006</v>
      </c>
      <c r="O441" t="s">
        <v>1560</v>
      </c>
      <c r="P441" t="s">
        <v>1713</v>
      </c>
      <c r="T441">
        <v>1</v>
      </c>
      <c r="W441">
        <v>0</v>
      </c>
    </row>
    <row r="442" spans="1:23" x14ac:dyDescent="0.2">
      <c r="A442" s="1">
        <v>440</v>
      </c>
      <c r="B442">
        <v>37486540</v>
      </c>
      <c r="C442" t="s">
        <v>466</v>
      </c>
      <c r="D442" t="s">
        <v>1018</v>
      </c>
      <c r="E442" t="str">
        <f>"0316523178"</f>
        <v>0316523178</v>
      </c>
      <c r="F442" t="str">
        <f>"9780316523172"</f>
        <v>9780316523172</v>
      </c>
      <c r="G442">
        <v>0</v>
      </c>
      <c r="H442">
        <v>4.0999999999999996</v>
      </c>
      <c r="I442" t="s">
        <v>1203</v>
      </c>
      <c r="J442" t="s">
        <v>1509</v>
      </c>
      <c r="K442">
        <v>384</v>
      </c>
      <c r="L442">
        <v>2018</v>
      </c>
      <c r="M442">
        <v>2018</v>
      </c>
      <c r="O442" t="s">
        <v>1696</v>
      </c>
      <c r="P442" t="s">
        <v>1711</v>
      </c>
      <c r="T442">
        <v>0</v>
      </c>
      <c r="W442">
        <v>0</v>
      </c>
    </row>
    <row r="443" spans="1:23" x14ac:dyDescent="0.2">
      <c r="A443" s="1">
        <v>441</v>
      </c>
      <c r="B443">
        <v>2467227</v>
      </c>
      <c r="C443" t="s">
        <v>467</v>
      </c>
      <c r="D443" t="s">
        <v>1019</v>
      </c>
      <c r="E443" t="str">
        <f>"0151010811"</f>
        <v>0151010811</v>
      </c>
      <c r="F443" t="str">
        <f>"9780151010813"</f>
        <v>9780151010813</v>
      </c>
      <c r="G443">
        <v>3</v>
      </c>
      <c r="H443">
        <v>3.52</v>
      </c>
      <c r="I443" t="s">
        <v>1428</v>
      </c>
      <c r="J443" t="s">
        <v>1509</v>
      </c>
      <c r="K443">
        <v>388</v>
      </c>
      <c r="L443">
        <v>2008</v>
      </c>
      <c r="M443">
        <v>2008</v>
      </c>
      <c r="N443" t="s">
        <v>1561</v>
      </c>
      <c r="O443" t="s">
        <v>1653</v>
      </c>
      <c r="P443" t="s">
        <v>1713</v>
      </c>
      <c r="Q443" t="s">
        <v>1755</v>
      </c>
      <c r="T443">
        <v>1</v>
      </c>
      <c r="W443">
        <v>0</v>
      </c>
    </row>
    <row r="444" spans="1:23" x14ac:dyDescent="0.2">
      <c r="A444" s="1">
        <v>442</v>
      </c>
      <c r="B444">
        <v>11472345</v>
      </c>
      <c r="C444" t="s">
        <v>468</v>
      </c>
      <c r="D444" t="s">
        <v>1020</v>
      </c>
      <c r="E444" t="str">
        <f>"0674055446"</f>
        <v>0674055446</v>
      </c>
      <c r="F444" t="str">
        <f>"9780674055445"</f>
        <v>9780674055445</v>
      </c>
      <c r="G444">
        <v>0</v>
      </c>
      <c r="H444">
        <v>4.3899999999999997</v>
      </c>
      <c r="I444" t="s">
        <v>1429</v>
      </c>
      <c r="J444" t="s">
        <v>1509</v>
      </c>
      <c r="K444">
        <v>928</v>
      </c>
      <c r="L444">
        <v>2011</v>
      </c>
      <c r="M444">
        <v>2011</v>
      </c>
      <c r="O444" t="s">
        <v>1697</v>
      </c>
      <c r="P444" t="s">
        <v>1711</v>
      </c>
      <c r="T444">
        <v>0</v>
      </c>
      <c r="W444">
        <v>0</v>
      </c>
    </row>
    <row r="445" spans="1:23" x14ac:dyDescent="0.2">
      <c r="A445" s="1">
        <v>443</v>
      </c>
      <c r="B445">
        <v>18465875</v>
      </c>
      <c r="C445" t="s">
        <v>469</v>
      </c>
      <c r="D445" t="s">
        <v>1021</v>
      </c>
      <c r="E445" t="str">
        <f>"077043617X"</f>
        <v>077043617X</v>
      </c>
      <c r="F445" t="str">
        <f>"9780770436179"</f>
        <v>9780770436179</v>
      </c>
      <c r="G445">
        <v>5</v>
      </c>
      <c r="H445">
        <v>4.1399999999999997</v>
      </c>
      <c r="I445" t="s">
        <v>1343</v>
      </c>
      <c r="J445" t="s">
        <v>1509</v>
      </c>
      <c r="K445">
        <v>406</v>
      </c>
      <c r="L445">
        <v>2014</v>
      </c>
      <c r="M445">
        <v>2014</v>
      </c>
      <c r="N445" t="s">
        <v>1562</v>
      </c>
      <c r="O445" t="s">
        <v>1653</v>
      </c>
      <c r="P445" t="s">
        <v>1713</v>
      </c>
      <c r="Q445" t="s">
        <v>1756</v>
      </c>
      <c r="T445">
        <v>1</v>
      </c>
      <c r="W445">
        <v>0</v>
      </c>
    </row>
    <row r="446" spans="1:23" x14ac:dyDescent="0.2">
      <c r="A446" s="1">
        <v>444</v>
      </c>
      <c r="B446">
        <v>25159062</v>
      </c>
      <c r="C446" t="s">
        <v>470</v>
      </c>
      <c r="D446" t="s">
        <v>1022</v>
      </c>
      <c r="E446" t="str">
        <f>"1610395832"</f>
        <v>1610395832</v>
      </c>
      <c r="F446" t="str">
        <f>"9781610395830"</f>
        <v>9781610395830</v>
      </c>
      <c r="G446">
        <v>0</v>
      </c>
      <c r="H446">
        <v>4.16</v>
      </c>
      <c r="I446" t="s">
        <v>1281</v>
      </c>
      <c r="J446" t="s">
        <v>1509</v>
      </c>
      <c r="K446">
        <v>288</v>
      </c>
      <c r="L446">
        <v>2016</v>
      </c>
      <c r="M446">
        <v>2016</v>
      </c>
      <c r="O446" t="s">
        <v>1698</v>
      </c>
      <c r="P446" t="s">
        <v>1711</v>
      </c>
      <c r="T446">
        <v>0</v>
      </c>
      <c r="W446">
        <v>0</v>
      </c>
    </row>
    <row r="447" spans="1:23" x14ac:dyDescent="0.2">
      <c r="A447" s="1">
        <v>445</v>
      </c>
      <c r="B447">
        <v>1769709</v>
      </c>
      <c r="C447" t="s">
        <v>471</v>
      </c>
      <c r="D447" t="s">
        <v>1023</v>
      </c>
      <c r="E447" t="str">
        <f>"1565843584"</f>
        <v>1565843584</v>
      </c>
      <c r="F447" t="str">
        <f>"9781565843585"</f>
        <v>9781565843585</v>
      </c>
      <c r="G447">
        <v>0</v>
      </c>
      <c r="H447">
        <v>3.81</v>
      </c>
      <c r="I447" t="s">
        <v>1430</v>
      </c>
      <c r="J447" t="s">
        <v>1507</v>
      </c>
      <c r="K447">
        <v>978</v>
      </c>
      <c r="L447">
        <v>1997</v>
      </c>
      <c r="M447">
        <v>1947</v>
      </c>
      <c r="O447" t="s">
        <v>1699</v>
      </c>
      <c r="P447" t="s">
        <v>1711</v>
      </c>
      <c r="T447">
        <v>0</v>
      </c>
      <c r="W447">
        <v>0</v>
      </c>
    </row>
    <row r="448" spans="1:23" x14ac:dyDescent="0.2">
      <c r="A448" s="1">
        <v>446</v>
      </c>
      <c r="B448">
        <v>849480</v>
      </c>
      <c r="C448" t="s">
        <v>472</v>
      </c>
      <c r="D448" t="s">
        <v>1023</v>
      </c>
      <c r="E448" t="str">
        <f>"0060116889"</f>
        <v>0060116889</v>
      </c>
      <c r="F448" t="str">
        <f>"9780060116880"</f>
        <v>9780060116880</v>
      </c>
      <c r="G448">
        <v>0</v>
      </c>
      <c r="H448">
        <v>3.88</v>
      </c>
      <c r="I448" t="s">
        <v>1431</v>
      </c>
      <c r="J448" t="s">
        <v>1509</v>
      </c>
      <c r="K448">
        <v>610</v>
      </c>
      <c r="L448">
        <v>1967</v>
      </c>
      <c r="M448">
        <v>1967</v>
      </c>
      <c r="O448" t="s">
        <v>1699</v>
      </c>
      <c r="P448" t="s">
        <v>1711</v>
      </c>
      <c r="T448">
        <v>0</v>
      </c>
      <c r="W448">
        <v>0</v>
      </c>
    </row>
    <row r="449" spans="1:23" x14ac:dyDescent="0.2">
      <c r="A449" s="1">
        <v>447</v>
      </c>
      <c r="B449">
        <v>2968922</v>
      </c>
      <c r="C449" t="s">
        <v>473</v>
      </c>
      <c r="D449" t="s">
        <v>1023</v>
      </c>
      <c r="E449" t="str">
        <f>"0836981979"</f>
        <v>0836981979</v>
      </c>
      <c r="F449" t="str">
        <f>"9780836981971"</f>
        <v>9780836981971</v>
      </c>
      <c r="G449">
        <v>0</v>
      </c>
      <c r="H449">
        <v>3.75</v>
      </c>
      <c r="I449" t="s">
        <v>1432</v>
      </c>
      <c r="J449" t="s">
        <v>1509</v>
      </c>
      <c r="K449">
        <v>952</v>
      </c>
      <c r="L449">
        <v>1987</v>
      </c>
      <c r="M449">
        <v>1955</v>
      </c>
      <c r="O449" t="s">
        <v>1699</v>
      </c>
      <c r="P449" t="s">
        <v>1711</v>
      </c>
      <c r="T449">
        <v>0</v>
      </c>
      <c r="W449">
        <v>0</v>
      </c>
    </row>
    <row r="450" spans="1:23" x14ac:dyDescent="0.2">
      <c r="A450" s="1">
        <v>448</v>
      </c>
      <c r="B450">
        <v>1868892</v>
      </c>
      <c r="C450" t="s">
        <v>474</v>
      </c>
      <c r="D450" t="s">
        <v>1023</v>
      </c>
      <c r="E450" t="str">
        <f>""</f>
        <v/>
      </c>
      <c r="F450" t="str">
        <f>""</f>
        <v/>
      </c>
      <c r="G450">
        <v>0</v>
      </c>
      <c r="H450">
        <v>4.03</v>
      </c>
      <c r="I450" t="s">
        <v>1433</v>
      </c>
      <c r="J450" t="s">
        <v>1509</v>
      </c>
      <c r="K450">
        <v>606</v>
      </c>
      <c r="L450">
        <v>1940</v>
      </c>
      <c r="M450">
        <v>1933</v>
      </c>
      <c r="O450" t="s">
        <v>1699</v>
      </c>
      <c r="P450" t="s">
        <v>1711</v>
      </c>
      <c r="T450">
        <v>0</v>
      </c>
      <c r="W450">
        <v>0</v>
      </c>
    </row>
    <row r="451" spans="1:23" x14ac:dyDescent="0.2">
      <c r="A451" s="1">
        <v>449</v>
      </c>
      <c r="B451">
        <v>2232250</v>
      </c>
      <c r="C451" t="s">
        <v>475</v>
      </c>
      <c r="D451" t="s">
        <v>1023</v>
      </c>
      <c r="E451" t="str">
        <f>"1931541094"</f>
        <v>1931541094</v>
      </c>
      <c r="F451" t="str">
        <f>"9781931541091"</f>
        <v>9781931541091</v>
      </c>
      <c r="G451">
        <v>0</v>
      </c>
      <c r="H451">
        <v>3.72</v>
      </c>
      <c r="I451" t="s">
        <v>1434</v>
      </c>
      <c r="J451" t="s">
        <v>1507</v>
      </c>
      <c r="K451">
        <v>659</v>
      </c>
      <c r="L451">
        <v>2001</v>
      </c>
      <c r="M451">
        <v>1939</v>
      </c>
      <c r="O451" t="s">
        <v>1699</v>
      </c>
      <c r="P451" t="s">
        <v>1711</v>
      </c>
      <c r="T451">
        <v>0</v>
      </c>
      <c r="W451">
        <v>0</v>
      </c>
    </row>
    <row r="452" spans="1:23" x14ac:dyDescent="0.2">
      <c r="A452" s="1">
        <v>450</v>
      </c>
      <c r="B452">
        <v>5635849</v>
      </c>
      <c r="C452" t="s">
        <v>476</v>
      </c>
      <c r="D452" t="s">
        <v>1024</v>
      </c>
      <c r="E452" t="str">
        <f>"0702233102"</f>
        <v>0702233102</v>
      </c>
      <c r="F452" t="str">
        <f>"9780702233104"</f>
        <v>9780702233104</v>
      </c>
      <c r="G452">
        <v>0</v>
      </c>
      <c r="H452">
        <v>3.92</v>
      </c>
      <c r="I452" t="s">
        <v>1435</v>
      </c>
      <c r="J452" t="s">
        <v>1507</v>
      </c>
      <c r="K452">
        <v>186</v>
      </c>
      <c r="L452">
        <v>2002</v>
      </c>
      <c r="M452">
        <v>1958</v>
      </c>
      <c r="O452" t="s">
        <v>1700</v>
      </c>
      <c r="P452" t="s">
        <v>1711</v>
      </c>
      <c r="T452">
        <v>0</v>
      </c>
      <c r="W452">
        <v>0</v>
      </c>
    </row>
    <row r="453" spans="1:23" x14ac:dyDescent="0.2">
      <c r="A453" s="1">
        <v>451</v>
      </c>
      <c r="B453">
        <v>544053</v>
      </c>
      <c r="C453" t="s">
        <v>477</v>
      </c>
      <c r="D453" t="s">
        <v>1025</v>
      </c>
      <c r="E453" t="str">
        <f>"0156180359"</f>
        <v>0156180359</v>
      </c>
      <c r="F453" t="str">
        <f>"9780156180351"</f>
        <v>9780156180351</v>
      </c>
      <c r="G453">
        <v>0</v>
      </c>
      <c r="H453">
        <v>4.0999999999999996</v>
      </c>
      <c r="I453" t="s">
        <v>1369</v>
      </c>
      <c r="J453" t="s">
        <v>1507</v>
      </c>
      <c r="K453">
        <v>784</v>
      </c>
      <c r="L453">
        <v>1968</v>
      </c>
      <c r="M453">
        <v>1961</v>
      </c>
      <c r="O453" t="s">
        <v>1701</v>
      </c>
      <c r="P453" t="s">
        <v>1711</v>
      </c>
      <c r="T453">
        <v>0</v>
      </c>
      <c r="W453">
        <v>0</v>
      </c>
    </row>
    <row r="454" spans="1:23" x14ac:dyDescent="0.2">
      <c r="A454" s="1">
        <v>452</v>
      </c>
      <c r="B454">
        <v>44142112</v>
      </c>
      <c r="C454" t="s">
        <v>478</v>
      </c>
      <c r="D454" t="s">
        <v>1026</v>
      </c>
      <c r="E454" t="str">
        <f>"1119564816"</f>
        <v>1119564816</v>
      </c>
      <c r="F454" t="str">
        <f>"9781119564812"</f>
        <v>9781119564812</v>
      </c>
      <c r="G454">
        <v>0</v>
      </c>
      <c r="H454">
        <v>4.32</v>
      </c>
      <c r="I454" t="s">
        <v>1310</v>
      </c>
      <c r="J454" t="s">
        <v>1509</v>
      </c>
      <c r="K454">
        <v>256</v>
      </c>
      <c r="L454">
        <v>2019</v>
      </c>
      <c r="O454" t="s">
        <v>1701</v>
      </c>
      <c r="P454" t="s">
        <v>1711</v>
      </c>
      <c r="T454">
        <v>0</v>
      </c>
      <c r="W454">
        <v>0</v>
      </c>
    </row>
    <row r="455" spans="1:23" x14ac:dyDescent="0.2">
      <c r="A455" s="1">
        <v>453</v>
      </c>
      <c r="B455">
        <v>47281</v>
      </c>
      <c r="C455" t="s">
        <v>479</v>
      </c>
      <c r="D455" t="s">
        <v>1017</v>
      </c>
      <c r="E455" t="str">
        <f>"0440227534"</f>
        <v>0440227534</v>
      </c>
      <c r="F455" t="str">
        <f>"9780440227533"</f>
        <v>9780440227533</v>
      </c>
      <c r="G455">
        <v>0</v>
      </c>
      <c r="H455">
        <v>4.1500000000000004</v>
      </c>
      <c r="I455" t="s">
        <v>1426</v>
      </c>
      <c r="J455" t="s">
        <v>1510</v>
      </c>
      <c r="K455">
        <v>137</v>
      </c>
      <c r="L455">
        <v>1998</v>
      </c>
      <c r="M455">
        <v>1989</v>
      </c>
      <c r="O455" t="s">
        <v>1702</v>
      </c>
      <c r="P455" t="s">
        <v>1713</v>
      </c>
      <c r="T455">
        <v>1</v>
      </c>
      <c r="W455">
        <v>0</v>
      </c>
    </row>
    <row r="456" spans="1:23" x14ac:dyDescent="0.2">
      <c r="A456" s="1">
        <v>454</v>
      </c>
      <c r="B456">
        <v>37190</v>
      </c>
      <c r="C456" t="s">
        <v>480</v>
      </c>
      <c r="D456" t="s">
        <v>1027</v>
      </c>
      <c r="E456" t="str">
        <f>"0763625299"</f>
        <v>0763625299</v>
      </c>
      <c r="F456" t="str">
        <f>"9780763625290"</f>
        <v>9780763625290</v>
      </c>
      <c r="G456">
        <v>0</v>
      </c>
      <c r="H456">
        <v>4.04</v>
      </c>
      <c r="I456" t="s">
        <v>1436</v>
      </c>
      <c r="J456" t="s">
        <v>1507</v>
      </c>
      <c r="K456">
        <v>267</v>
      </c>
      <c r="L456">
        <v>2008</v>
      </c>
      <c r="M456">
        <v>2003</v>
      </c>
      <c r="O456" t="s">
        <v>1702</v>
      </c>
      <c r="P456" t="s">
        <v>1713</v>
      </c>
      <c r="T456">
        <v>1</v>
      </c>
      <c r="W456">
        <v>0</v>
      </c>
    </row>
    <row r="457" spans="1:23" x14ac:dyDescent="0.2">
      <c r="A457" s="1">
        <v>455</v>
      </c>
      <c r="B457">
        <v>307791</v>
      </c>
      <c r="C457" t="s">
        <v>481</v>
      </c>
      <c r="D457" t="s">
        <v>1028</v>
      </c>
      <c r="E457" t="str">
        <f>"0375822747"</f>
        <v>0375822747</v>
      </c>
      <c r="F457" t="str">
        <f>"9780375822742"</f>
        <v>9780375822742</v>
      </c>
      <c r="G457">
        <v>0</v>
      </c>
      <c r="H457">
        <v>3.86</v>
      </c>
      <c r="I457" t="s">
        <v>1437</v>
      </c>
      <c r="J457" t="s">
        <v>1507</v>
      </c>
      <c r="K457">
        <v>288</v>
      </c>
      <c r="L457">
        <v>2003</v>
      </c>
      <c r="M457">
        <v>2003</v>
      </c>
      <c r="O457" t="s">
        <v>1702</v>
      </c>
      <c r="P457" t="s">
        <v>1713</v>
      </c>
      <c r="T457">
        <v>1</v>
      </c>
      <c r="W457">
        <v>0</v>
      </c>
    </row>
    <row r="458" spans="1:23" x14ac:dyDescent="0.2">
      <c r="A458" s="1">
        <v>456</v>
      </c>
      <c r="B458">
        <v>10264047</v>
      </c>
      <c r="C458" t="s">
        <v>482</v>
      </c>
      <c r="D458" t="s">
        <v>1029</v>
      </c>
      <c r="E458" t="str">
        <f>""</f>
        <v/>
      </c>
      <c r="F458" t="str">
        <f>""</f>
        <v/>
      </c>
      <c r="G458">
        <v>0</v>
      </c>
      <c r="H458">
        <v>3.74</v>
      </c>
      <c r="I458" t="s">
        <v>1438</v>
      </c>
      <c r="L458">
        <v>1979</v>
      </c>
      <c r="M458">
        <v>1979</v>
      </c>
      <c r="O458" t="s">
        <v>1703</v>
      </c>
      <c r="P458" t="s">
        <v>1711</v>
      </c>
      <c r="T458">
        <v>0</v>
      </c>
      <c r="W458">
        <v>0</v>
      </c>
    </row>
    <row r="459" spans="1:23" x14ac:dyDescent="0.2">
      <c r="A459" s="1">
        <v>457</v>
      </c>
      <c r="B459">
        <v>64280</v>
      </c>
      <c r="C459" t="s">
        <v>483</v>
      </c>
      <c r="D459" t="s">
        <v>1030</v>
      </c>
      <c r="E459" t="str">
        <f>"0877854769"</f>
        <v>0877854769</v>
      </c>
      <c r="F459" t="str">
        <f>"9780877854760"</f>
        <v>9780877854760</v>
      </c>
      <c r="G459">
        <v>0</v>
      </c>
      <c r="H459">
        <v>3.95</v>
      </c>
      <c r="I459" t="s">
        <v>1439</v>
      </c>
      <c r="J459" t="s">
        <v>1507</v>
      </c>
      <c r="K459">
        <v>544</v>
      </c>
      <c r="L459">
        <v>2000</v>
      </c>
      <c r="M459">
        <v>1758</v>
      </c>
      <c r="O459" t="s">
        <v>1704</v>
      </c>
      <c r="P459" t="s">
        <v>1711</v>
      </c>
      <c r="T459">
        <v>0</v>
      </c>
      <c r="W459">
        <v>0</v>
      </c>
    </row>
    <row r="460" spans="1:23" x14ac:dyDescent="0.2">
      <c r="A460" s="1">
        <v>458</v>
      </c>
      <c r="B460">
        <v>11294070</v>
      </c>
      <c r="C460" t="s">
        <v>484</v>
      </c>
      <c r="D460" t="s">
        <v>1031</v>
      </c>
      <c r="E460" t="str">
        <f>"1442204796"</f>
        <v>1442204796</v>
      </c>
      <c r="F460" t="str">
        <f>"9781442204799"</f>
        <v>9781442204799</v>
      </c>
      <c r="G460">
        <v>0</v>
      </c>
      <c r="H460">
        <v>3.93</v>
      </c>
      <c r="I460" t="s">
        <v>1327</v>
      </c>
      <c r="J460" t="s">
        <v>1509</v>
      </c>
      <c r="K460">
        <v>211</v>
      </c>
      <c r="L460">
        <v>2011</v>
      </c>
      <c r="M460">
        <v>2011</v>
      </c>
      <c r="O460" t="s">
        <v>1704</v>
      </c>
      <c r="P460" t="s">
        <v>1711</v>
      </c>
      <c r="T460">
        <v>0</v>
      </c>
      <c r="W460">
        <v>0</v>
      </c>
    </row>
    <row r="461" spans="1:23" x14ac:dyDescent="0.2">
      <c r="A461" s="1">
        <v>459</v>
      </c>
      <c r="B461">
        <v>18693910</v>
      </c>
      <c r="C461" t="s">
        <v>485</v>
      </c>
      <c r="D461" t="s">
        <v>1032</v>
      </c>
      <c r="E461" t="str">
        <f>"1594203474"</f>
        <v>1594203474</v>
      </c>
      <c r="F461" t="str">
        <f>"9781594203473"</f>
        <v>9781594203473</v>
      </c>
      <c r="G461">
        <v>0</v>
      </c>
      <c r="H461">
        <v>4.2300000000000004</v>
      </c>
      <c r="I461" t="s">
        <v>1321</v>
      </c>
      <c r="J461" t="s">
        <v>1509</v>
      </c>
      <c r="K461">
        <v>447</v>
      </c>
      <c r="L461">
        <v>2015</v>
      </c>
      <c r="M461">
        <v>2015</v>
      </c>
      <c r="O461" t="s">
        <v>1704</v>
      </c>
      <c r="P461" t="s">
        <v>1711</v>
      </c>
      <c r="T461">
        <v>0</v>
      </c>
      <c r="W461">
        <v>0</v>
      </c>
    </row>
    <row r="462" spans="1:23" x14ac:dyDescent="0.2">
      <c r="A462" s="1">
        <v>460</v>
      </c>
      <c r="B462">
        <v>91360</v>
      </c>
      <c r="C462" t="s">
        <v>486</v>
      </c>
      <c r="D462" t="s">
        <v>1033</v>
      </c>
      <c r="E462" t="str">
        <f>"0452281806"</f>
        <v>0452281806</v>
      </c>
      <c r="F462" t="str">
        <f>"9780452281806"</f>
        <v>9780452281806</v>
      </c>
      <c r="G462">
        <v>0</v>
      </c>
      <c r="H462">
        <v>3.96</v>
      </c>
      <c r="I462" t="s">
        <v>1440</v>
      </c>
      <c r="J462" t="s">
        <v>1507</v>
      </c>
      <c r="K462">
        <v>400</v>
      </c>
      <c r="L462">
        <v>2000</v>
      </c>
      <c r="M462">
        <v>1996</v>
      </c>
      <c r="O462" t="s">
        <v>1704</v>
      </c>
      <c r="P462" t="s">
        <v>1711</v>
      </c>
      <c r="T462">
        <v>0</v>
      </c>
      <c r="W462">
        <v>0</v>
      </c>
    </row>
    <row r="463" spans="1:23" x14ac:dyDescent="0.2">
      <c r="A463" s="1">
        <v>461</v>
      </c>
      <c r="B463">
        <v>17125</v>
      </c>
      <c r="C463" t="s">
        <v>487</v>
      </c>
      <c r="D463" t="s">
        <v>1034</v>
      </c>
      <c r="E463" t="str">
        <f>"0374529523"</f>
        <v>0374529523</v>
      </c>
      <c r="F463" t="str">
        <f>"9780374529529"</f>
        <v>9780374529529</v>
      </c>
      <c r="G463">
        <v>5</v>
      </c>
      <c r="H463">
        <v>3.96</v>
      </c>
      <c r="I463" t="s">
        <v>1176</v>
      </c>
      <c r="J463" t="s">
        <v>1507</v>
      </c>
      <c r="K463">
        <v>182</v>
      </c>
      <c r="L463">
        <v>2005</v>
      </c>
      <c r="M463">
        <v>1962</v>
      </c>
      <c r="N463" t="s">
        <v>1563</v>
      </c>
      <c r="O463" t="s">
        <v>1653</v>
      </c>
      <c r="P463" t="s">
        <v>1713</v>
      </c>
      <c r="Q463" t="s">
        <v>1757</v>
      </c>
      <c r="T463">
        <v>1</v>
      </c>
      <c r="W463">
        <v>0</v>
      </c>
    </row>
    <row r="464" spans="1:23" x14ac:dyDescent="0.2">
      <c r="A464" s="1">
        <v>462</v>
      </c>
      <c r="B464">
        <v>146274</v>
      </c>
      <c r="C464" t="s">
        <v>488</v>
      </c>
      <c r="D464" t="s">
        <v>1035</v>
      </c>
      <c r="E464" t="str">
        <f>"0060518502"</f>
        <v>0060518502</v>
      </c>
      <c r="F464" t="str">
        <f>"9780060518509"</f>
        <v>9780060518509</v>
      </c>
      <c r="G464">
        <v>0</v>
      </c>
      <c r="H464">
        <v>4.1399999999999997</v>
      </c>
      <c r="I464" t="s">
        <v>1396</v>
      </c>
      <c r="J464" t="s">
        <v>1507</v>
      </c>
      <c r="K464">
        <v>388</v>
      </c>
      <c r="L464">
        <v>2007</v>
      </c>
      <c r="M464">
        <v>2006</v>
      </c>
      <c r="O464" t="s">
        <v>1705</v>
      </c>
      <c r="P464" t="s">
        <v>1711</v>
      </c>
      <c r="T464">
        <v>0</v>
      </c>
      <c r="W464">
        <v>0</v>
      </c>
    </row>
    <row r="465" spans="1:23" x14ac:dyDescent="0.2">
      <c r="A465" s="1">
        <v>463</v>
      </c>
      <c r="B465">
        <v>331344</v>
      </c>
      <c r="C465" t="s">
        <v>489</v>
      </c>
      <c r="D465" t="s">
        <v>712</v>
      </c>
      <c r="E465" t="str">
        <f>"0938077007"</f>
        <v>0938077007</v>
      </c>
      <c r="F465" t="str">
        <f>"9780938077008"</f>
        <v>9780938077008</v>
      </c>
      <c r="G465">
        <v>2</v>
      </c>
      <c r="H465">
        <v>4.28</v>
      </c>
      <c r="I465" t="s">
        <v>1441</v>
      </c>
      <c r="J465" t="s">
        <v>1507</v>
      </c>
      <c r="K465">
        <v>115</v>
      </c>
      <c r="L465">
        <v>1988</v>
      </c>
      <c r="M465">
        <v>1987</v>
      </c>
      <c r="O465" t="s">
        <v>1590</v>
      </c>
      <c r="P465" t="s">
        <v>1713</v>
      </c>
      <c r="T465">
        <v>1</v>
      </c>
      <c r="W465">
        <v>0</v>
      </c>
    </row>
    <row r="466" spans="1:23" x14ac:dyDescent="0.2">
      <c r="A466" s="1">
        <v>464</v>
      </c>
      <c r="B466">
        <v>10975</v>
      </c>
      <c r="C466" t="s">
        <v>490</v>
      </c>
      <c r="D466" t="s">
        <v>1036</v>
      </c>
      <c r="E466" t="str">
        <f>""</f>
        <v/>
      </c>
      <c r="F466" t="str">
        <f>""</f>
        <v/>
      </c>
      <c r="G466">
        <v>3</v>
      </c>
      <c r="H466">
        <v>3.86</v>
      </c>
      <c r="I466" t="s">
        <v>1209</v>
      </c>
      <c r="J466" t="s">
        <v>1507</v>
      </c>
      <c r="K466">
        <v>366</v>
      </c>
      <c r="L466">
        <v>1990</v>
      </c>
      <c r="M466">
        <v>1929</v>
      </c>
      <c r="O466" t="s">
        <v>1590</v>
      </c>
      <c r="P466" t="s">
        <v>1713</v>
      </c>
      <c r="T466">
        <v>1</v>
      </c>
      <c r="W466">
        <v>0</v>
      </c>
    </row>
    <row r="467" spans="1:23" x14ac:dyDescent="0.2">
      <c r="A467" s="1">
        <v>465</v>
      </c>
      <c r="B467">
        <v>5129</v>
      </c>
      <c r="C467" t="s">
        <v>491</v>
      </c>
      <c r="D467" t="s">
        <v>1037</v>
      </c>
      <c r="E467" t="str">
        <f>"0060929871"</f>
        <v>0060929871</v>
      </c>
      <c r="F467" t="str">
        <f>"9780060929879"</f>
        <v>9780060929879</v>
      </c>
      <c r="G467">
        <v>4</v>
      </c>
      <c r="H467">
        <v>3.99</v>
      </c>
      <c r="I467" t="s">
        <v>1442</v>
      </c>
      <c r="J467" t="s">
        <v>1507</v>
      </c>
      <c r="K467">
        <v>288</v>
      </c>
      <c r="L467">
        <v>1998</v>
      </c>
      <c r="M467">
        <v>1932</v>
      </c>
      <c r="O467" t="s">
        <v>1706</v>
      </c>
      <c r="P467" t="s">
        <v>1713</v>
      </c>
      <c r="T467">
        <v>1</v>
      </c>
      <c r="W467">
        <v>0</v>
      </c>
    </row>
    <row r="468" spans="1:23" x14ac:dyDescent="0.2">
      <c r="A468" s="1">
        <v>466</v>
      </c>
      <c r="B468">
        <v>711901</v>
      </c>
      <c r="C468" t="s">
        <v>492</v>
      </c>
      <c r="D468" t="s">
        <v>1038</v>
      </c>
      <c r="E468" t="str">
        <f>"0316067598"</f>
        <v>0316067598</v>
      </c>
      <c r="F468" t="str">
        <f>"9780316067591"</f>
        <v>9780316067591</v>
      </c>
      <c r="G468">
        <v>3</v>
      </c>
      <c r="H468">
        <v>4.32</v>
      </c>
      <c r="I468" t="s">
        <v>1203</v>
      </c>
      <c r="J468" t="s">
        <v>1509</v>
      </c>
      <c r="K468">
        <v>390</v>
      </c>
      <c r="L468">
        <v>2007</v>
      </c>
      <c r="M468">
        <v>2006</v>
      </c>
      <c r="O468" t="s">
        <v>1590</v>
      </c>
      <c r="P468" t="s">
        <v>1713</v>
      </c>
      <c r="T468">
        <v>1</v>
      </c>
      <c r="W468">
        <v>0</v>
      </c>
    </row>
    <row r="469" spans="1:23" x14ac:dyDescent="0.2">
      <c r="A469" s="1">
        <v>467</v>
      </c>
      <c r="B469">
        <v>22034</v>
      </c>
      <c r="C469" t="s">
        <v>493</v>
      </c>
      <c r="D469" t="s">
        <v>1039</v>
      </c>
      <c r="E469" t="str">
        <f>""</f>
        <v/>
      </c>
      <c r="F469" t="str">
        <f>""</f>
        <v/>
      </c>
      <c r="G469">
        <v>5</v>
      </c>
      <c r="H469">
        <v>4.37</v>
      </c>
      <c r="I469" t="s">
        <v>1250</v>
      </c>
      <c r="J469" t="s">
        <v>1507</v>
      </c>
      <c r="K469">
        <v>448</v>
      </c>
      <c r="L469">
        <v>2002</v>
      </c>
      <c r="M469">
        <v>1969</v>
      </c>
      <c r="O469" t="s">
        <v>1590</v>
      </c>
      <c r="P469" t="s">
        <v>1713</v>
      </c>
      <c r="T469">
        <v>1</v>
      </c>
      <c r="W469">
        <v>0</v>
      </c>
    </row>
    <row r="470" spans="1:23" x14ac:dyDescent="0.2">
      <c r="A470" s="1">
        <v>468</v>
      </c>
      <c r="B470">
        <v>12067799</v>
      </c>
      <c r="C470" t="s">
        <v>494</v>
      </c>
      <c r="D470" t="s">
        <v>1040</v>
      </c>
      <c r="E470" t="str">
        <f>"019976641X"</f>
        <v>019976641X</v>
      </c>
      <c r="F470" t="str">
        <f>"9780199766413"</f>
        <v>9780199766413</v>
      </c>
      <c r="G470">
        <v>4</v>
      </c>
      <c r="H470">
        <v>3.58</v>
      </c>
      <c r="I470" t="s">
        <v>1186</v>
      </c>
      <c r="J470" t="s">
        <v>1509</v>
      </c>
      <c r="K470">
        <v>267</v>
      </c>
      <c r="L470">
        <v>2011</v>
      </c>
      <c r="M470">
        <v>2011</v>
      </c>
      <c r="O470" t="s">
        <v>1590</v>
      </c>
      <c r="P470" t="s">
        <v>1713</v>
      </c>
      <c r="T470">
        <v>1</v>
      </c>
      <c r="W470">
        <v>0</v>
      </c>
    </row>
    <row r="471" spans="1:23" x14ac:dyDescent="0.2">
      <c r="A471" s="1">
        <v>469</v>
      </c>
      <c r="B471">
        <v>13030270</v>
      </c>
      <c r="C471" t="s">
        <v>495</v>
      </c>
      <c r="D471" t="s">
        <v>1041</v>
      </c>
      <c r="E471" t="str">
        <f>""</f>
        <v/>
      </c>
      <c r="F471" t="str">
        <f>""</f>
        <v/>
      </c>
      <c r="G471">
        <v>4</v>
      </c>
      <c r="H471">
        <v>4.03</v>
      </c>
      <c r="I471" t="s">
        <v>1443</v>
      </c>
      <c r="J471" t="s">
        <v>1507</v>
      </c>
      <c r="K471">
        <v>199</v>
      </c>
      <c r="L471">
        <v>2011</v>
      </c>
      <c r="M471">
        <v>2011</v>
      </c>
      <c r="O471" t="s">
        <v>1590</v>
      </c>
      <c r="P471" t="s">
        <v>1713</v>
      </c>
      <c r="T471">
        <v>1</v>
      </c>
      <c r="W471">
        <v>0</v>
      </c>
    </row>
    <row r="472" spans="1:23" x14ac:dyDescent="0.2">
      <c r="A472" s="1">
        <v>470</v>
      </c>
      <c r="B472">
        <v>2956</v>
      </c>
      <c r="C472" t="s">
        <v>496</v>
      </c>
      <c r="D472" t="s">
        <v>968</v>
      </c>
      <c r="E472" t="str">
        <f>"0142437174"</f>
        <v>0142437174</v>
      </c>
      <c r="F472" t="str">
        <f>"9780142437179"</f>
        <v>9780142437179</v>
      </c>
      <c r="G472">
        <v>4</v>
      </c>
      <c r="H472">
        <v>3.82</v>
      </c>
      <c r="I472" t="s">
        <v>1213</v>
      </c>
      <c r="J472" t="s">
        <v>1507</v>
      </c>
      <c r="K472">
        <v>327</v>
      </c>
      <c r="L472">
        <v>2002</v>
      </c>
      <c r="M472">
        <v>1884</v>
      </c>
      <c r="O472" t="s">
        <v>1590</v>
      </c>
      <c r="P472" t="s">
        <v>1713</v>
      </c>
      <c r="T472">
        <v>1</v>
      </c>
      <c r="W472">
        <v>0</v>
      </c>
    </row>
    <row r="473" spans="1:23" x14ac:dyDescent="0.2">
      <c r="A473" s="1">
        <v>471</v>
      </c>
      <c r="B473">
        <v>40604658</v>
      </c>
      <c r="C473" t="s">
        <v>497</v>
      </c>
      <c r="D473" t="s">
        <v>1042</v>
      </c>
      <c r="E473" t="str">
        <f>""</f>
        <v/>
      </c>
      <c r="F473" t="str">
        <f>""</f>
        <v/>
      </c>
      <c r="G473">
        <v>4</v>
      </c>
      <c r="H473">
        <v>4.04</v>
      </c>
      <c r="I473" t="s">
        <v>1371</v>
      </c>
      <c r="J473" t="s">
        <v>1511</v>
      </c>
      <c r="K473">
        <v>466</v>
      </c>
      <c r="L473">
        <v>2012</v>
      </c>
      <c r="M473">
        <v>1990</v>
      </c>
      <c r="O473" t="s">
        <v>1590</v>
      </c>
      <c r="P473" t="s">
        <v>1713</v>
      </c>
      <c r="T473">
        <v>1</v>
      </c>
      <c r="W473">
        <v>0</v>
      </c>
    </row>
    <row r="474" spans="1:23" x14ac:dyDescent="0.2">
      <c r="A474" s="1">
        <v>472</v>
      </c>
      <c r="B474">
        <v>8650</v>
      </c>
      <c r="C474" t="s">
        <v>498</v>
      </c>
      <c r="D474" t="s">
        <v>1042</v>
      </c>
      <c r="E474" t="str">
        <f>"0752224417"</f>
        <v>0752224417</v>
      </c>
      <c r="F474" t="str">
        <f>"9780752224411"</f>
        <v>9780752224411</v>
      </c>
      <c r="G474">
        <v>4</v>
      </c>
      <c r="H474">
        <v>3.79</v>
      </c>
      <c r="I474" t="s">
        <v>1444</v>
      </c>
      <c r="J474" t="s">
        <v>1510</v>
      </c>
      <c r="K474">
        <v>448</v>
      </c>
      <c r="L474">
        <v>1995</v>
      </c>
      <c r="M474">
        <v>1995</v>
      </c>
      <c r="O474" t="s">
        <v>1590</v>
      </c>
      <c r="P474" t="s">
        <v>1713</v>
      </c>
      <c r="T474">
        <v>1</v>
      </c>
      <c r="W474">
        <v>0</v>
      </c>
    </row>
    <row r="475" spans="1:23" x14ac:dyDescent="0.2">
      <c r="A475" s="1">
        <v>473</v>
      </c>
      <c r="B475">
        <v>229281</v>
      </c>
      <c r="C475" t="s">
        <v>499</v>
      </c>
      <c r="D475" t="s">
        <v>1043</v>
      </c>
      <c r="E475" t="str">
        <f>"0486296725"</f>
        <v>0486296725</v>
      </c>
      <c r="F475" t="str">
        <f>"9780486296722"</f>
        <v>9780486296722</v>
      </c>
      <c r="G475">
        <v>2</v>
      </c>
      <c r="H475">
        <v>3.56</v>
      </c>
      <c r="I475" t="s">
        <v>1230</v>
      </c>
      <c r="J475" t="s">
        <v>1507</v>
      </c>
      <c r="K475">
        <v>288</v>
      </c>
      <c r="L475">
        <v>1997</v>
      </c>
      <c r="M475">
        <v>1970</v>
      </c>
      <c r="O475" t="s">
        <v>1590</v>
      </c>
      <c r="P475" t="s">
        <v>1713</v>
      </c>
      <c r="T475">
        <v>1</v>
      </c>
      <c r="W475">
        <v>0</v>
      </c>
    </row>
    <row r="476" spans="1:23" x14ac:dyDescent="0.2">
      <c r="A476" s="1">
        <v>474</v>
      </c>
      <c r="B476">
        <v>36064445</v>
      </c>
      <c r="C476" t="s">
        <v>500</v>
      </c>
      <c r="D476" t="s">
        <v>730</v>
      </c>
      <c r="E476" t="str">
        <f>"0241300657"</f>
        <v>0241300657</v>
      </c>
      <c r="F476" t="str">
        <f>"9780241300657"</f>
        <v>9780241300657</v>
      </c>
      <c r="G476">
        <v>5</v>
      </c>
      <c r="H476">
        <v>3.88</v>
      </c>
      <c r="I476" t="s">
        <v>1445</v>
      </c>
      <c r="J476" t="s">
        <v>1507</v>
      </c>
      <c r="K476">
        <v>272</v>
      </c>
      <c r="L476">
        <v>2018</v>
      </c>
      <c r="M476">
        <v>2018</v>
      </c>
      <c r="O476" t="s">
        <v>1590</v>
      </c>
      <c r="P476" t="s">
        <v>1713</v>
      </c>
      <c r="T476">
        <v>1</v>
      </c>
      <c r="W476">
        <v>0</v>
      </c>
    </row>
    <row r="477" spans="1:23" x14ac:dyDescent="0.2">
      <c r="A477" s="1">
        <v>475</v>
      </c>
      <c r="B477">
        <v>4778436</v>
      </c>
      <c r="C477" t="s">
        <v>501</v>
      </c>
      <c r="D477" t="s">
        <v>1044</v>
      </c>
      <c r="E477" t="str">
        <f>"0618858679"</f>
        <v>0618858679</v>
      </c>
      <c r="F477" t="str">
        <f>"9780618858675"</f>
        <v>9780618858675</v>
      </c>
      <c r="G477">
        <v>4</v>
      </c>
      <c r="H477">
        <v>4.22</v>
      </c>
      <c r="I477" t="s">
        <v>1265</v>
      </c>
      <c r="J477" t="s">
        <v>1509</v>
      </c>
      <c r="K477">
        <v>390</v>
      </c>
      <c r="L477">
        <v>2009</v>
      </c>
      <c r="M477">
        <v>2009</v>
      </c>
      <c r="O477" t="s">
        <v>1590</v>
      </c>
      <c r="P477" t="s">
        <v>1713</v>
      </c>
      <c r="T477">
        <v>1</v>
      </c>
      <c r="W477">
        <v>0</v>
      </c>
    </row>
    <row r="478" spans="1:23" x14ac:dyDescent="0.2">
      <c r="A478" s="1">
        <v>476</v>
      </c>
      <c r="B478">
        <v>28381</v>
      </c>
      <c r="C478" t="s">
        <v>502</v>
      </c>
      <c r="D478" t="s">
        <v>1045</v>
      </c>
      <c r="E478" t="str">
        <f>"0140448071"</f>
        <v>0140448071</v>
      </c>
      <c r="F478" t="str">
        <f>"9780140448078"</f>
        <v>9780140448078</v>
      </c>
      <c r="G478">
        <v>3</v>
      </c>
      <c r="H478">
        <v>3.97</v>
      </c>
      <c r="I478" t="s">
        <v>1213</v>
      </c>
      <c r="J478" t="s">
        <v>1507</v>
      </c>
      <c r="K478">
        <v>464</v>
      </c>
      <c r="L478">
        <v>2004</v>
      </c>
      <c r="M478">
        <v>1842</v>
      </c>
      <c r="O478" t="s">
        <v>1590</v>
      </c>
      <c r="P478" t="s">
        <v>1713</v>
      </c>
      <c r="T478">
        <v>1</v>
      </c>
      <c r="W478">
        <v>0</v>
      </c>
    </row>
    <row r="479" spans="1:23" x14ac:dyDescent="0.2">
      <c r="A479" s="1">
        <v>477</v>
      </c>
      <c r="B479">
        <v>253984</v>
      </c>
      <c r="C479" t="s">
        <v>503</v>
      </c>
      <c r="D479" t="s">
        <v>957</v>
      </c>
      <c r="E479" t="str">
        <f>"1590171659"</f>
        <v>1590171659</v>
      </c>
      <c r="F479" t="str">
        <f>"9781590171653"</f>
        <v>9781590171653</v>
      </c>
      <c r="G479">
        <v>3</v>
      </c>
      <c r="H479">
        <v>4.0599999999999996</v>
      </c>
      <c r="I479" t="s">
        <v>1380</v>
      </c>
      <c r="J479" t="s">
        <v>1507</v>
      </c>
      <c r="K479">
        <v>321</v>
      </c>
      <c r="L479">
        <v>2005</v>
      </c>
      <c r="M479">
        <v>1977</v>
      </c>
      <c r="O479" t="s">
        <v>1590</v>
      </c>
      <c r="P479" t="s">
        <v>1713</v>
      </c>
      <c r="T479">
        <v>1</v>
      </c>
      <c r="W479">
        <v>0</v>
      </c>
    </row>
    <row r="480" spans="1:23" x14ac:dyDescent="0.2">
      <c r="A480" s="1">
        <v>478</v>
      </c>
      <c r="B480">
        <v>39644250</v>
      </c>
      <c r="C480" t="s">
        <v>504</v>
      </c>
      <c r="D480" t="s">
        <v>1046</v>
      </c>
      <c r="E480" t="str">
        <f>"0262535955"</f>
        <v>0262535955</v>
      </c>
      <c r="F480" t="str">
        <f>"9780262535953"</f>
        <v>9780262535953</v>
      </c>
      <c r="G480">
        <v>3</v>
      </c>
      <c r="H480">
        <v>3.68</v>
      </c>
      <c r="I480" t="s">
        <v>1446</v>
      </c>
      <c r="J480" t="s">
        <v>1507</v>
      </c>
      <c r="K480">
        <v>232</v>
      </c>
      <c r="L480">
        <v>2018</v>
      </c>
      <c r="O480" t="s">
        <v>1590</v>
      </c>
      <c r="P480" t="s">
        <v>1713</v>
      </c>
      <c r="T480">
        <v>1</v>
      </c>
      <c r="W480">
        <v>0</v>
      </c>
    </row>
    <row r="481" spans="1:23" x14ac:dyDescent="0.2">
      <c r="A481" s="1">
        <v>479</v>
      </c>
      <c r="B481">
        <v>7713461</v>
      </c>
      <c r="C481" t="s">
        <v>505</v>
      </c>
      <c r="D481" t="s">
        <v>1047</v>
      </c>
      <c r="E481" t="str">
        <f>"143918903X"</f>
        <v>143918903X</v>
      </c>
      <c r="F481" t="str">
        <f>"9781439189030"</f>
        <v>9781439189030</v>
      </c>
      <c r="G481">
        <v>3</v>
      </c>
      <c r="H481">
        <v>4.1500000000000004</v>
      </c>
      <c r="I481" t="s">
        <v>1447</v>
      </c>
      <c r="J481" t="s">
        <v>1509</v>
      </c>
      <c r="K481">
        <v>352</v>
      </c>
      <c r="L481">
        <v>2010</v>
      </c>
      <c r="M481">
        <v>2010</v>
      </c>
      <c r="O481" t="s">
        <v>1590</v>
      </c>
      <c r="P481" t="s">
        <v>1713</v>
      </c>
      <c r="T481">
        <v>1</v>
      </c>
      <c r="W481">
        <v>0</v>
      </c>
    </row>
    <row r="482" spans="1:23" x14ac:dyDescent="0.2">
      <c r="A482" s="1">
        <v>480</v>
      </c>
      <c r="B482">
        <v>21192565</v>
      </c>
      <c r="C482" t="s">
        <v>506</v>
      </c>
      <c r="D482" t="s">
        <v>707</v>
      </c>
      <c r="E482" t="str">
        <f>""</f>
        <v/>
      </c>
      <c r="F482" t="str">
        <f>""</f>
        <v/>
      </c>
      <c r="G482">
        <v>3</v>
      </c>
      <c r="H482">
        <v>4.37</v>
      </c>
      <c r="I482" t="s">
        <v>1448</v>
      </c>
      <c r="J482" t="s">
        <v>1511</v>
      </c>
      <c r="K482">
        <v>208</v>
      </c>
      <c r="L482">
        <v>2014</v>
      </c>
      <c r="M482">
        <v>2014</v>
      </c>
      <c r="O482" t="s">
        <v>1590</v>
      </c>
      <c r="P482" t="s">
        <v>1713</v>
      </c>
      <c r="T482">
        <v>1</v>
      </c>
      <c r="W482">
        <v>0</v>
      </c>
    </row>
    <row r="483" spans="1:23" x14ac:dyDescent="0.2">
      <c r="A483" s="1">
        <v>481</v>
      </c>
      <c r="B483">
        <v>295</v>
      </c>
      <c r="C483" t="s">
        <v>507</v>
      </c>
      <c r="D483" t="s">
        <v>1048</v>
      </c>
      <c r="E483" t="str">
        <f>"0753453800"</f>
        <v>0753453800</v>
      </c>
      <c r="F483" t="str">
        <f>"9780753453803"</f>
        <v>9780753453803</v>
      </c>
      <c r="G483">
        <v>5</v>
      </c>
      <c r="H483">
        <v>3.83</v>
      </c>
      <c r="I483" t="s">
        <v>1449</v>
      </c>
      <c r="J483" t="s">
        <v>1509</v>
      </c>
      <c r="K483">
        <v>311</v>
      </c>
      <c r="L483">
        <v>2001</v>
      </c>
      <c r="M483">
        <v>1879</v>
      </c>
      <c r="O483" t="s">
        <v>1590</v>
      </c>
      <c r="P483" t="s">
        <v>1713</v>
      </c>
      <c r="T483">
        <v>1</v>
      </c>
      <c r="W483">
        <v>0</v>
      </c>
    </row>
    <row r="484" spans="1:23" x14ac:dyDescent="0.2">
      <c r="A484" s="1">
        <v>482</v>
      </c>
      <c r="B484">
        <v>9526993</v>
      </c>
      <c r="C484" t="s">
        <v>508</v>
      </c>
      <c r="D484" t="s">
        <v>1049</v>
      </c>
      <c r="E484" t="str">
        <f>""</f>
        <v/>
      </c>
      <c r="F484" t="str">
        <f>""</f>
        <v/>
      </c>
      <c r="G484">
        <v>4</v>
      </c>
      <c r="H484">
        <v>3.99</v>
      </c>
      <c r="J484" t="s">
        <v>1511</v>
      </c>
      <c r="K484">
        <v>450</v>
      </c>
      <c r="M484">
        <v>1999</v>
      </c>
      <c r="O484" t="s">
        <v>1590</v>
      </c>
      <c r="P484" t="s">
        <v>1713</v>
      </c>
      <c r="T484">
        <v>1</v>
      </c>
      <c r="W484">
        <v>0</v>
      </c>
    </row>
    <row r="485" spans="1:23" x14ac:dyDescent="0.2">
      <c r="A485" s="1">
        <v>483</v>
      </c>
      <c r="B485">
        <v>1530924</v>
      </c>
      <c r="C485" t="s">
        <v>509</v>
      </c>
      <c r="D485" t="s">
        <v>1050</v>
      </c>
      <c r="E485" t="str">
        <f>"0940149451"</f>
        <v>0940149451</v>
      </c>
      <c r="F485" t="str">
        <f>"9780940149458"</f>
        <v>9780940149458</v>
      </c>
      <c r="G485">
        <v>4</v>
      </c>
      <c r="H485">
        <v>3.85</v>
      </c>
      <c r="I485" t="s">
        <v>1450</v>
      </c>
      <c r="J485" t="s">
        <v>1516</v>
      </c>
      <c r="K485">
        <v>213</v>
      </c>
      <c r="L485">
        <v>2003</v>
      </c>
      <c r="M485">
        <v>1987</v>
      </c>
      <c r="O485" t="s">
        <v>1590</v>
      </c>
      <c r="P485" t="s">
        <v>1713</v>
      </c>
      <c r="T485">
        <v>1</v>
      </c>
      <c r="W485">
        <v>0</v>
      </c>
    </row>
    <row r="486" spans="1:23" x14ac:dyDescent="0.2">
      <c r="A486" s="1">
        <v>484</v>
      </c>
      <c r="B486">
        <v>1724560</v>
      </c>
      <c r="C486" t="s">
        <v>510</v>
      </c>
      <c r="D486" t="s">
        <v>1051</v>
      </c>
      <c r="E486" t="str">
        <f>"0300126255"</f>
        <v>0300126255</v>
      </c>
      <c r="F486" t="str">
        <f>"9780300126259"</f>
        <v>9780300126259</v>
      </c>
      <c r="G486">
        <v>5</v>
      </c>
      <c r="H486">
        <v>4.07</v>
      </c>
      <c r="I486" t="s">
        <v>1451</v>
      </c>
      <c r="J486" t="s">
        <v>1509</v>
      </c>
      <c r="K486">
        <v>608</v>
      </c>
      <c r="L486">
        <v>2007</v>
      </c>
      <c r="M486">
        <v>2007</v>
      </c>
      <c r="O486" t="s">
        <v>1590</v>
      </c>
      <c r="P486" t="s">
        <v>1713</v>
      </c>
      <c r="T486">
        <v>1</v>
      </c>
      <c r="W486">
        <v>0</v>
      </c>
    </row>
    <row r="487" spans="1:23" x14ac:dyDescent="0.2">
      <c r="A487" s="1">
        <v>485</v>
      </c>
      <c r="B487">
        <v>32669</v>
      </c>
      <c r="C487" t="s">
        <v>511</v>
      </c>
      <c r="D487" t="s">
        <v>741</v>
      </c>
      <c r="E487" t="str">
        <f>"0425144372"</f>
        <v>0425144372</v>
      </c>
      <c r="F487" t="str">
        <f>"9780425144374"</f>
        <v>9780425144374</v>
      </c>
      <c r="G487">
        <v>4</v>
      </c>
      <c r="H487">
        <v>4.1100000000000003</v>
      </c>
      <c r="I487" t="s">
        <v>1229</v>
      </c>
      <c r="J487" t="s">
        <v>1510</v>
      </c>
      <c r="K487">
        <v>688</v>
      </c>
      <c r="L487">
        <v>1994</v>
      </c>
      <c r="M487">
        <v>1989</v>
      </c>
      <c r="O487" t="s">
        <v>1590</v>
      </c>
      <c r="P487" t="s">
        <v>1713</v>
      </c>
      <c r="T487">
        <v>1</v>
      </c>
      <c r="W487">
        <v>0</v>
      </c>
    </row>
    <row r="488" spans="1:23" x14ac:dyDescent="0.2">
      <c r="A488" s="1">
        <v>486</v>
      </c>
      <c r="B488">
        <v>19670</v>
      </c>
      <c r="C488" t="s">
        <v>512</v>
      </c>
      <c r="D488" t="s">
        <v>741</v>
      </c>
      <c r="E488" t="str">
        <f>"0425147584"</f>
        <v>0425147584</v>
      </c>
      <c r="F488" t="str">
        <f>"9780425147580"</f>
        <v>9780425147580</v>
      </c>
      <c r="G488">
        <v>4</v>
      </c>
      <c r="H488">
        <v>4.0599999999999996</v>
      </c>
      <c r="I488" t="s">
        <v>1229</v>
      </c>
      <c r="J488" t="s">
        <v>1507</v>
      </c>
      <c r="K488">
        <v>990</v>
      </c>
      <c r="L488">
        <v>1995</v>
      </c>
      <c r="M488">
        <v>1994</v>
      </c>
      <c r="O488" t="s">
        <v>1590</v>
      </c>
      <c r="P488" t="s">
        <v>1713</v>
      </c>
      <c r="T488">
        <v>1</v>
      </c>
      <c r="W488">
        <v>0</v>
      </c>
    </row>
    <row r="489" spans="1:23" x14ac:dyDescent="0.2">
      <c r="A489" s="1">
        <v>487</v>
      </c>
      <c r="B489">
        <v>24280</v>
      </c>
      <c r="C489" t="s">
        <v>513</v>
      </c>
      <c r="D489" t="s">
        <v>862</v>
      </c>
      <c r="E489" t="str">
        <f>""</f>
        <v/>
      </c>
      <c r="F489" t="str">
        <f>""</f>
        <v/>
      </c>
      <c r="G489">
        <v>4</v>
      </c>
      <c r="H489">
        <v>4.18</v>
      </c>
      <c r="I489" t="s">
        <v>1259</v>
      </c>
      <c r="J489" t="s">
        <v>1510</v>
      </c>
      <c r="K489">
        <v>1463</v>
      </c>
      <c r="L489">
        <v>1987</v>
      </c>
      <c r="M489">
        <v>1862</v>
      </c>
      <c r="O489" t="s">
        <v>1590</v>
      </c>
      <c r="P489" t="s">
        <v>1713</v>
      </c>
      <c r="T489">
        <v>1</v>
      </c>
      <c r="W489">
        <v>0</v>
      </c>
    </row>
    <row r="490" spans="1:23" x14ac:dyDescent="0.2">
      <c r="A490" s="1">
        <v>488</v>
      </c>
      <c r="B490">
        <v>34684622</v>
      </c>
      <c r="C490" t="s">
        <v>514</v>
      </c>
      <c r="D490" t="s">
        <v>935</v>
      </c>
      <c r="E490" t="str">
        <f>"1501139150"</f>
        <v>1501139150</v>
      </c>
      <c r="F490" t="str">
        <f>"9781501139154"</f>
        <v>9781501139154</v>
      </c>
      <c r="G490">
        <v>3</v>
      </c>
      <c r="H490">
        <v>4.13</v>
      </c>
      <c r="I490" t="s">
        <v>1245</v>
      </c>
      <c r="J490" t="s">
        <v>1509</v>
      </c>
      <c r="K490">
        <v>600</v>
      </c>
      <c r="L490">
        <v>2017</v>
      </c>
      <c r="M490">
        <v>2017</v>
      </c>
      <c r="O490" t="s">
        <v>1590</v>
      </c>
      <c r="P490" t="s">
        <v>1713</v>
      </c>
      <c r="T490">
        <v>1</v>
      </c>
      <c r="W490">
        <v>0</v>
      </c>
    </row>
    <row r="491" spans="1:23" x14ac:dyDescent="0.2">
      <c r="A491" s="1">
        <v>489</v>
      </c>
      <c r="B491">
        <v>670302</v>
      </c>
      <c r="C491" t="s">
        <v>515</v>
      </c>
      <c r="D491" t="s">
        <v>952</v>
      </c>
      <c r="E491" t="str">
        <f>"0006551009"</f>
        <v>0006551009</v>
      </c>
      <c r="F491" t="str">
        <f>"9780006551003"</f>
        <v>9780006551003</v>
      </c>
      <c r="G491">
        <v>3</v>
      </c>
      <c r="H491">
        <v>3.81</v>
      </c>
      <c r="I491" t="s">
        <v>1452</v>
      </c>
      <c r="J491" t="s">
        <v>1507</v>
      </c>
      <c r="K491">
        <v>192</v>
      </c>
      <c r="L491">
        <v>2000</v>
      </c>
      <c r="M491">
        <v>1998</v>
      </c>
      <c r="O491" t="s">
        <v>1590</v>
      </c>
      <c r="P491" t="s">
        <v>1713</v>
      </c>
      <c r="T491">
        <v>1</v>
      </c>
      <c r="W491">
        <v>0</v>
      </c>
    </row>
    <row r="492" spans="1:23" x14ac:dyDescent="0.2">
      <c r="A492" s="1">
        <v>490</v>
      </c>
      <c r="B492">
        <v>22237142</v>
      </c>
      <c r="C492" t="s">
        <v>516</v>
      </c>
      <c r="D492" t="s">
        <v>1052</v>
      </c>
      <c r="E492" t="str">
        <f>"0374117268"</f>
        <v>0374117268</v>
      </c>
      <c r="F492" t="str">
        <f>"9780374117269"</f>
        <v>9780374117269</v>
      </c>
      <c r="G492">
        <v>3</v>
      </c>
      <c r="H492">
        <v>3.34</v>
      </c>
      <c r="I492" t="s">
        <v>1453</v>
      </c>
      <c r="J492" t="s">
        <v>1507</v>
      </c>
      <c r="K492">
        <v>296</v>
      </c>
      <c r="L492">
        <v>2016</v>
      </c>
      <c r="M492">
        <v>2015</v>
      </c>
      <c r="N492" t="s">
        <v>1564</v>
      </c>
      <c r="O492" t="s">
        <v>1653</v>
      </c>
      <c r="P492" t="s">
        <v>1713</v>
      </c>
      <c r="Q492" t="s">
        <v>1758</v>
      </c>
      <c r="T492">
        <v>1</v>
      </c>
      <c r="W492">
        <v>0</v>
      </c>
    </row>
    <row r="493" spans="1:23" x14ac:dyDescent="0.2">
      <c r="A493" s="1">
        <v>491</v>
      </c>
      <c r="B493">
        <v>815854</v>
      </c>
      <c r="C493" t="s">
        <v>517</v>
      </c>
      <c r="D493" t="s">
        <v>1053</v>
      </c>
      <c r="E493" t="str">
        <f>"1557504466"</f>
        <v>1557504466</v>
      </c>
      <c r="F493" t="str">
        <f>"9781557504463"</f>
        <v>9781557504463</v>
      </c>
      <c r="G493">
        <v>0</v>
      </c>
      <c r="H493">
        <v>4.24</v>
      </c>
      <c r="I493" t="s">
        <v>1454</v>
      </c>
      <c r="J493" t="s">
        <v>1507</v>
      </c>
      <c r="K493">
        <v>602</v>
      </c>
      <c r="L493">
        <v>2001</v>
      </c>
      <c r="M493">
        <v>1962</v>
      </c>
      <c r="O493" t="s">
        <v>1707</v>
      </c>
      <c r="P493" t="s">
        <v>1711</v>
      </c>
      <c r="T493">
        <v>0</v>
      </c>
      <c r="W493">
        <v>0</v>
      </c>
    </row>
    <row r="494" spans="1:23" x14ac:dyDescent="0.2">
      <c r="A494" s="1">
        <v>492</v>
      </c>
      <c r="B494">
        <v>419510</v>
      </c>
      <c r="C494" t="s">
        <v>518</v>
      </c>
      <c r="D494" t="s">
        <v>1054</v>
      </c>
      <c r="E494" t="str">
        <f>"0375760717"</f>
        <v>0375760717</v>
      </c>
      <c r="F494" t="str">
        <f>"9780375760716"</f>
        <v>9780375760716</v>
      </c>
      <c r="G494">
        <v>0</v>
      </c>
      <c r="H494">
        <v>3.84</v>
      </c>
      <c r="I494" t="s">
        <v>1455</v>
      </c>
      <c r="J494" t="s">
        <v>1507</v>
      </c>
      <c r="K494">
        <v>384</v>
      </c>
      <c r="L494">
        <v>2005</v>
      </c>
      <c r="M494">
        <v>2004</v>
      </c>
      <c r="O494" t="s">
        <v>1708</v>
      </c>
      <c r="P494" t="s">
        <v>1711</v>
      </c>
      <c r="T494">
        <v>0</v>
      </c>
      <c r="W494">
        <v>0</v>
      </c>
    </row>
    <row r="495" spans="1:23" x14ac:dyDescent="0.2">
      <c r="A495" s="1">
        <v>493</v>
      </c>
      <c r="B495">
        <v>921455</v>
      </c>
      <c r="C495" t="s">
        <v>519</v>
      </c>
      <c r="D495" t="s">
        <v>902</v>
      </c>
      <c r="E495" t="str">
        <f>"0486226824"</f>
        <v>0486226824</v>
      </c>
      <c r="F495" t="str">
        <f>"9780486226828"</f>
        <v>9780486226828</v>
      </c>
      <c r="G495">
        <v>5</v>
      </c>
      <c r="H495">
        <v>4.12</v>
      </c>
      <c r="I495" t="s">
        <v>1230</v>
      </c>
      <c r="J495" t="s">
        <v>1507</v>
      </c>
      <c r="K495">
        <v>368</v>
      </c>
      <c r="L495">
        <v>1971</v>
      </c>
      <c r="M495">
        <v>1929</v>
      </c>
      <c r="N495" t="s">
        <v>1565</v>
      </c>
      <c r="O495" t="s">
        <v>1653</v>
      </c>
      <c r="P495" t="s">
        <v>1713</v>
      </c>
      <c r="Q495" t="s">
        <v>1759</v>
      </c>
      <c r="T495">
        <v>1</v>
      </c>
      <c r="W495">
        <v>0</v>
      </c>
    </row>
    <row r="496" spans="1:23" x14ac:dyDescent="0.2">
      <c r="A496" s="1">
        <v>494</v>
      </c>
      <c r="B496">
        <v>2998</v>
      </c>
      <c r="C496" t="s">
        <v>520</v>
      </c>
      <c r="D496" t="s">
        <v>1055</v>
      </c>
      <c r="E496" t="str">
        <f>"0517189607"</f>
        <v>0517189607</v>
      </c>
      <c r="F496" t="str">
        <f>"9780517189603"</f>
        <v>9780517189603</v>
      </c>
      <c r="G496">
        <v>0</v>
      </c>
      <c r="H496">
        <v>4.13</v>
      </c>
      <c r="I496" t="s">
        <v>1456</v>
      </c>
      <c r="J496" t="s">
        <v>1509</v>
      </c>
      <c r="K496">
        <v>331</v>
      </c>
      <c r="L496">
        <v>1998</v>
      </c>
      <c r="M496">
        <v>1910</v>
      </c>
      <c r="O496" t="s">
        <v>1706</v>
      </c>
      <c r="P496" t="s">
        <v>1711</v>
      </c>
      <c r="T496">
        <v>0</v>
      </c>
      <c r="W496">
        <v>0</v>
      </c>
    </row>
    <row r="497" spans="1:23" x14ac:dyDescent="0.2">
      <c r="A497" s="1">
        <v>495</v>
      </c>
      <c r="B497">
        <v>33640229</v>
      </c>
      <c r="C497" t="s">
        <v>521</v>
      </c>
      <c r="D497" t="s">
        <v>1056</v>
      </c>
      <c r="E497" t="str">
        <f>"0062367870"</f>
        <v>0062367870</v>
      </c>
      <c r="F497" t="str">
        <f>"9780062367877"</f>
        <v>9780062367877</v>
      </c>
      <c r="G497">
        <v>0</v>
      </c>
      <c r="H497">
        <v>4.1399999999999997</v>
      </c>
      <c r="I497" t="s">
        <v>1302</v>
      </c>
      <c r="J497" t="s">
        <v>1508</v>
      </c>
      <c r="K497">
        <v>368</v>
      </c>
      <c r="L497">
        <v>2017</v>
      </c>
      <c r="M497">
        <v>2017</v>
      </c>
      <c r="O497" t="s">
        <v>1706</v>
      </c>
      <c r="P497" t="s">
        <v>1711</v>
      </c>
      <c r="T497">
        <v>0</v>
      </c>
      <c r="W497">
        <v>0</v>
      </c>
    </row>
    <row r="498" spans="1:23" x14ac:dyDescent="0.2">
      <c r="A498" s="1">
        <v>496</v>
      </c>
      <c r="B498">
        <v>10483171</v>
      </c>
      <c r="C498" t="s">
        <v>522</v>
      </c>
      <c r="D498" t="s">
        <v>1057</v>
      </c>
      <c r="E498" t="str">
        <f>"0670022756"</f>
        <v>0670022756</v>
      </c>
      <c r="F498" t="str">
        <f>"9780670022755"</f>
        <v>9780670022755</v>
      </c>
      <c r="G498">
        <v>0</v>
      </c>
      <c r="H498">
        <v>4.12</v>
      </c>
      <c r="I498" t="s">
        <v>1291</v>
      </c>
      <c r="J498" t="s">
        <v>1509</v>
      </c>
      <c r="K498">
        <v>487</v>
      </c>
      <c r="L498">
        <v>2011</v>
      </c>
      <c r="M498">
        <v>2011</v>
      </c>
      <c r="O498" t="s">
        <v>1709</v>
      </c>
      <c r="P498" t="s">
        <v>1711</v>
      </c>
      <c r="T498">
        <v>0</v>
      </c>
      <c r="W498">
        <v>0</v>
      </c>
    </row>
    <row r="499" spans="1:23" x14ac:dyDescent="0.2">
      <c r="A499" s="1">
        <v>497</v>
      </c>
      <c r="B499">
        <v>1146081</v>
      </c>
      <c r="C499" t="s">
        <v>523</v>
      </c>
      <c r="D499" t="s">
        <v>1058</v>
      </c>
      <c r="E499" t="str">
        <f>"0684855313"</f>
        <v>0684855313</v>
      </c>
      <c r="F499" t="str">
        <f>"9780684855318"</f>
        <v>9780684855318</v>
      </c>
      <c r="G499">
        <v>0</v>
      </c>
      <c r="H499">
        <v>3.68</v>
      </c>
      <c r="I499" t="s">
        <v>1162</v>
      </c>
      <c r="J499" t="s">
        <v>1507</v>
      </c>
      <c r="K499">
        <v>528</v>
      </c>
      <c r="L499">
        <v>1998</v>
      </c>
      <c r="M499">
        <v>1995</v>
      </c>
      <c r="O499" t="s">
        <v>1710</v>
      </c>
      <c r="P499" t="s">
        <v>1711</v>
      </c>
      <c r="T499">
        <v>0</v>
      </c>
      <c r="W499">
        <v>0</v>
      </c>
    </row>
    <row r="500" spans="1:23" x14ac:dyDescent="0.2">
      <c r="A500" s="1">
        <v>498</v>
      </c>
      <c r="B500">
        <v>39286438</v>
      </c>
      <c r="C500" t="s">
        <v>524</v>
      </c>
      <c r="D500" t="s">
        <v>1059</v>
      </c>
      <c r="E500" t="str">
        <f>""</f>
        <v/>
      </c>
      <c r="F500" t="str">
        <f>""</f>
        <v/>
      </c>
      <c r="G500">
        <v>0</v>
      </c>
      <c r="H500">
        <v>4.32</v>
      </c>
      <c r="I500" t="s">
        <v>1457</v>
      </c>
      <c r="J500" t="s">
        <v>1511</v>
      </c>
      <c r="K500">
        <v>217</v>
      </c>
      <c r="L500">
        <v>2018</v>
      </c>
      <c r="O500" t="s">
        <v>1710</v>
      </c>
      <c r="P500" t="s">
        <v>1711</v>
      </c>
      <c r="T500">
        <v>0</v>
      </c>
      <c r="W500">
        <v>0</v>
      </c>
    </row>
    <row r="501" spans="1:23" x14ac:dyDescent="0.2">
      <c r="A501" s="1">
        <v>499</v>
      </c>
      <c r="B501">
        <v>22529381</v>
      </c>
      <c r="C501" t="s">
        <v>525</v>
      </c>
      <c r="D501" t="s">
        <v>1060</v>
      </c>
      <c r="E501" t="str">
        <f>"1620402505"</f>
        <v>1620402505</v>
      </c>
      <c r="F501" t="str">
        <f>"9781620402504"</f>
        <v>9781620402504</v>
      </c>
      <c r="G501">
        <v>0</v>
      </c>
      <c r="H501">
        <v>4.24</v>
      </c>
      <c r="I501" t="s">
        <v>1458</v>
      </c>
      <c r="J501" t="s">
        <v>1509</v>
      </c>
      <c r="K501">
        <v>384</v>
      </c>
      <c r="L501">
        <v>2015</v>
      </c>
      <c r="M501">
        <v>2015</v>
      </c>
      <c r="O501" t="s">
        <v>1710</v>
      </c>
      <c r="P501" t="s">
        <v>1711</v>
      </c>
      <c r="T501">
        <v>0</v>
      </c>
      <c r="W501">
        <v>0</v>
      </c>
    </row>
    <row r="502" spans="1:23" x14ac:dyDescent="0.2">
      <c r="A502" s="1">
        <v>500</v>
      </c>
      <c r="B502">
        <v>22891</v>
      </c>
      <c r="C502" t="s">
        <v>526</v>
      </c>
      <c r="D502" t="s">
        <v>1061</v>
      </c>
      <c r="E502" t="str">
        <f>"0231126999"</f>
        <v>0231126999</v>
      </c>
      <c r="F502" t="str">
        <f>"9780231126991"</f>
        <v>9780231126991</v>
      </c>
      <c r="G502">
        <v>0</v>
      </c>
      <c r="H502">
        <v>3.96</v>
      </c>
      <c r="I502" t="s">
        <v>1459</v>
      </c>
      <c r="J502" t="s">
        <v>1507</v>
      </c>
      <c r="K502">
        <v>432</v>
      </c>
      <c r="L502">
        <v>2006</v>
      </c>
      <c r="M502">
        <v>1998</v>
      </c>
      <c r="O502" t="s">
        <v>1710</v>
      </c>
      <c r="P502" t="s">
        <v>1711</v>
      </c>
      <c r="T502">
        <v>0</v>
      </c>
      <c r="W502">
        <v>0</v>
      </c>
    </row>
    <row r="503" spans="1:23" x14ac:dyDescent="0.2">
      <c r="A503" s="1">
        <v>501</v>
      </c>
      <c r="B503">
        <v>11797471</v>
      </c>
      <c r="C503" t="s">
        <v>527</v>
      </c>
      <c r="D503" t="s">
        <v>1062</v>
      </c>
      <c r="E503" t="str">
        <f>"1594203288"</f>
        <v>1594203288</v>
      </c>
      <c r="F503" t="str">
        <f>"9781594203282"</f>
        <v>9781594203282</v>
      </c>
      <c r="G503">
        <v>0</v>
      </c>
      <c r="H503">
        <v>4.17</v>
      </c>
      <c r="I503" t="s">
        <v>1321</v>
      </c>
      <c r="J503" t="s">
        <v>1509</v>
      </c>
      <c r="K503">
        <v>432</v>
      </c>
      <c r="L503">
        <v>2012</v>
      </c>
      <c r="M503">
        <v>2012</v>
      </c>
      <c r="O503" t="s">
        <v>1710</v>
      </c>
      <c r="P503" t="s">
        <v>1711</v>
      </c>
      <c r="T503">
        <v>0</v>
      </c>
      <c r="W503">
        <v>0</v>
      </c>
    </row>
    <row r="504" spans="1:23" x14ac:dyDescent="0.2">
      <c r="A504" s="1">
        <v>502</v>
      </c>
      <c r="B504">
        <v>60180</v>
      </c>
      <c r="C504" t="s">
        <v>528</v>
      </c>
      <c r="D504" t="s">
        <v>1063</v>
      </c>
      <c r="E504" t="str">
        <f>"0316084468"</f>
        <v>0316084468</v>
      </c>
      <c r="F504" t="str">
        <f>"9780316084468"</f>
        <v>9780316084468</v>
      </c>
      <c r="G504">
        <v>0</v>
      </c>
      <c r="H504">
        <v>4.37</v>
      </c>
      <c r="I504" t="s">
        <v>1175</v>
      </c>
      <c r="J504" t="s">
        <v>1507</v>
      </c>
      <c r="K504">
        <v>340</v>
      </c>
      <c r="L504">
        <v>1997</v>
      </c>
      <c r="M504">
        <v>1996</v>
      </c>
      <c r="O504" t="s">
        <v>1710</v>
      </c>
      <c r="P504" t="s">
        <v>1711</v>
      </c>
      <c r="T504">
        <v>0</v>
      </c>
      <c r="W504">
        <v>0</v>
      </c>
    </row>
    <row r="505" spans="1:23" x14ac:dyDescent="0.2">
      <c r="A505" s="1">
        <v>503</v>
      </c>
      <c r="B505">
        <v>1282817</v>
      </c>
      <c r="C505" t="s">
        <v>529</v>
      </c>
      <c r="D505" t="s">
        <v>1064</v>
      </c>
      <c r="E505" t="str">
        <f>"0906026245"</f>
        <v>0906026245</v>
      </c>
      <c r="F505" t="str">
        <f>"9780906026243"</f>
        <v>9780906026243</v>
      </c>
      <c r="G505">
        <v>0</v>
      </c>
      <c r="H505">
        <v>4.5</v>
      </c>
      <c r="I505" t="s">
        <v>1460</v>
      </c>
      <c r="J505" t="s">
        <v>1509</v>
      </c>
      <c r="K505">
        <v>232</v>
      </c>
      <c r="L505">
        <v>2003</v>
      </c>
      <c r="M505">
        <v>1990</v>
      </c>
      <c r="O505" t="s">
        <v>1710</v>
      </c>
      <c r="P505" t="s">
        <v>1711</v>
      </c>
      <c r="T505">
        <v>0</v>
      </c>
      <c r="W505">
        <v>0</v>
      </c>
    </row>
    <row r="506" spans="1:23" x14ac:dyDescent="0.2">
      <c r="A506" s="1">
        <v>504</v>
      </c>
      <c r="B506">
        <v>78895</v>
      </c>
      <c r="C506" t="s">
        <v>530</v>
      </c>
      <c r="D506" t="s">
        <v>1065</v>
      </c>
      <c r="E506" t="str">
        <f>"0679762876"</f>
        <v>0679762876</v>
      </c>
      <c r="F506" t="str">
        <f>"9780679762874"</f>
        <v>9780679762874</v>
      </c>
      <c r="G506">
        <v>0</v>
      </c>
      <c r="H506">
        <v>3.93</v>
      </c>
      <c r="I506" t="s">
        <v>1167</v>
      </c>
      <c r="J506" t="s">
        <v>1507</v>
      </c>
      <c r="K506">
        <v>288</v>
      </c>
      <c r="L506">
        <v>1995</v>
      </c>
      <c r="M506">
        <v>1980</v>
      </c>
      <c r="O506" t="s">
        <v>1710</v>
      </c>
      <c r="P506" t="s">
        <v>1711</v>
      </c>
      <c r="T506">
        <v>0</v>
      </c>
      <c r="W506">
        <v>0</v>
      </c>
    </row>
    <row r="507" spans="1:23" x14ac:dyDescent="0.2">
      <c r="A507" s="1">
        <v>505</v>
      </c>
      <c r="B507">
        <v>327742</v>
      </c>
      <c r="C507" t="s">
        <v>531</v>
      </c>
      <c r="D507" t="s">
        <v>1066</v>
      </c>
      <c r="E507" t="str">
        <f>"0140132716"</f>
        <v>0140132716</v>
      </c>
      <c r="F507" t="str">
        <f>"9780140132717"</f>
        <v>9780140132717</v>
      </c>
      <c r="G507">
        <v>0</v>
      </c>
      <c r="H507">
        <v>4.43</v>
      </c>
      <c r="I507" t="s">
        <v>1461</v>
      </c>
      <c r="J507" t="s">
        <v>1507</v>
      </c>
      <c r="K507">
        <v>576</v>
      </c>
      <c r="L507">
        <v>2004</v>
      </c>
      <c r="M507">
        <v>1949</v>
      </c>
      <c r="O507" t="s">
        <v>1710</v>
      </c>
      <c r="P507" t="s">
        <v>1711</v>
      </c>
      <c r="T507">
        <v>0</v>
      </c>
      <c r="W507">
        <v>0</v>
      </c>
    </row>
    <row r="508" spans="1:23" x14ac:dyDescent="0.2">
      <c r="A508" s="1">
        <v>506</v>
      </c>
      <c r="B508">
        <v>118139</v>
      </c>
      <c r="C508" t="s">
        <v>532</v>
      </c>
      <c r="D508" t="s">
        <v>1067</v>
      </c>
      <c r="E508" t="str">
        <f>"0864427654"</f>
        <v>0864427654</v>
      </c>
      <c r="F508" t="str">
        <f>"9780864427656"</f>
        <v>9780864427656</v>
      </c>
      <c r="G508">
        <v>0</v>
      </c>
      <c r="H508">
        <v>4.2</v>
      </c>
      <c r="I508" t="s">
        <v>1462</v>
      </c>
      <c r="J508" t="s">
        <v>1507</v>
      </c>
      <c r="K508">
        <v>276</v>
      </c>
      <c r="L508">
        <v>2005</v>
      </c>
      <c r="M508">
        <v>1971</v>
      </c>
      <c r="O508" t="s">
        <v>1710</v>
      </c>
      <c r="P508" t="s">
        <v>1711</v>
      </c>
      <c r="T508">
        <v>0</v>
      </c>
      <c r="W508">
        <v>0</v>
      </c>
    </row>
    <row r="509" spans="1:23" x14ac:dyDescent="0.2">
      <c r="A509" s="1">
        <v>507</v>
      </c>
      <c r="B509">
        <v>116729</v>
      </c>
      <c r="C509" t="s">
        <v>533</v>
      </c>
      <c r="D509" t="s">
        <v>1068</v>
      </c>
      <c r="E509" t="str">
        <f>"0688089267"</f>
        <v>0688089267</v>
      </c>
      <c r="F509" t="str">
        <f>"9780688089269"</f>
        <v>9780688089269</v>
      </c>
      <c r="G509">
        <v>0</v>
      </c>
      <c r="H509">
        <v>4.1500000000000004</v>
      </c>
      <c r="I509" t="s">
        <v>1334</v>
      </c>
      <c r="J509" t="s">
        <v>1509</v>
      </c>
      <c r="K509">
        <v>301</v>
      </c>
      <c r="L509">
        <v>1989</v>
      </c>
      <c r="M509">
        <v>1988</v>
      </c>
      <c r="O509" t="s">
        <v>1710</v>
      </c>
      <c r="P509" t="s">
        <v>1711</v>
      </c>
      <c r="T509">
        <v>0</v>
      </c>
      <c r="W509">
        <v>0</v>
      </c>
    </row>
    <row r="510" spans="1:23" x14ac:dyDescent="0.2">
      <c r="A510" s="1">
        <v>508</v>
      </c>
      <c r="B510">
        <v>13687366</v>
      </c>
      <c r="C510" t="s">
        <v>534</v>
      </c>
      <c r="D510" t="s">
        <v>1069</v>
      </c>
      <c r="E510" t="str">
        <f>"0195396219"</f>
        <v>0195396219</v>
      </c>
      <c r="F510" t="str">
        <f>"9780195396218"</f>
        <v>9780195396218</v>
      </c>
      <c r="G510">
        <v>0</v>
      </c>
      <c r="H510">
        <v>3.83</v>
      </c>
      <c r="I510" t="s">
        <v>1186</v>
      </c>
      <c r="J510" t="s">
        <v>1507</v>
      </c>
      <c r="K510">
        <v>528</v>
      </c>
      <c r="L510">
        <v>2012</v>
      </c>
      <c r="M510">
        <v>1997</v>
      </c>
      <c r="O510" t="s">
        <v>1710</v>
      </c>
      <c r="P510" t="s">
        <v>1711</v>
      </c>
      <c r="T510">
        <v>0</v>
      </c>
      <c r="W510">
        <v>0</v>
      </c>
    </row>
    <row r="511" spans="1:23" x14ac:dyDescent="0.2">
      <c r="A511" s="1">
        <v>509</v>
      </c>
      <c r="B511">
        <v>34225896</v>
      </c>
      <c r="C511" t="s">
        <v>535</v>
      </c>
      <c r="D511" t="s">
        <v>1070</v>
      </c>
      <c r="E511" t="str">
        <f>""</f>
        <v/>
      </c>
      <c r="F511" t="str">
        <f>""</f>
        <v/>
      </c>
      <c r="G511">
        <v>0</v>
      </c>
      <c r="H511">
        <v>3.7</v>
      </c>
      <c r="I511" t="s">
        <v>1463</v>
      </c>
      <c r="J511" t="s">
        <v>1511</v>
      </c>
      <c r="K511">
        <v>792</v>
      </c>
      <c r="L511">
        <v>2017</v>
      </c>
      <c r="O511" t="s">
        <v>1710</v>
      </c>
      <c r="P511" t="s">
        <v>1711</v>
      </c>
      <c r="T511">
        <v>0</v>
      </c>
      <c r="W511">
        <v>0</v>
      </c>
    </row>
    <row r="512" spans="1:23" x14ac:dyDescent="0.2">
      <c r="A512" s="1">
        <v>510</v>
      </c>
      <c r="B512">
        <v>118927</v>
      </c>
      <c r="C512" t="s">
        <v>536</v>
      </c>
      <c r="D512" t="s">
        <v>1071</v>
      </c>
      <c r="E512" t="str">
        <f>"0374529809"</f>
        <v>0374529809</v>
      </c>
      <c r="F512" t="str">
        <f>"9780374529802"</f>
        <v>9780374529802</v>
      </c>
      <c r="G512">
        <v>0</v>
      </c>
      <c r="H512">
        <v>3.91</v>
      </c>
      <c r="I512" t="s">
        <v>1176</v>
      </c>
      <c r="J512" t="s">
        <v>1507</v>
      </c>
      <c r="K512">
        <v>880</v>
      </c>
      <c r="L512">
        <v>2005</v>
      </c>
      <c r="M512">
        <v>2004</v>
      </c>
      <c r="O512" t="s">
        <v>1710</v>
      </c>
      <c r="P512" t="s">
        <v>1711</v>
      </c>
      <c r="T512">
        <v>0</v>
      </c>
      <c r="W512">
        <v>0</v>
      </c>
    </row>
    <row r="513" spans="1:23" x14ac:dyDescent="0.2">
      <c r="A513" s="1">
        <v>511</v>
      </c>
      <c r="B513">
        <v>13578224</v>
      </c>
      <c r="C513" t="s">
        <v>537</v>
      </c>
      <c r="D513" t="s">
        <v>1072</v>
      </c>
      <c r="E513" t="str">
        <f>""</f>
        <v/>
      </c>
      <c r="F513" t="str">
        <f>"9788244200400"</f>
        <v>9788244200400</v>
      </c>
      <c r="G513">
        <v>0</v>
      </c>
      <c r="H513">
        <v>4.1399999999999997</v>
      </c>
      <c r="M513">
        <v>2008</v>
      </c>
      <c r="O513" t="s">
        <v>1653</v>
      </c>
      <c r="P513" t="s">
        <v>1712</v>
      </c>
      <c r="T513">
        <v>1</v>
      </c>
      <c r="W513">
        <v>0</v>
      </c>
    </row>
    <row r="514" spans="1:23" x14ac:dyDescent="0.2">
      <c r="A514" s="1">
        <v>512</v>
      </c>
      <c r="B514">
        <v>16158493</v>
      </c>
      <c r="C514" t="s">
        <v>538</v>
      </c>
      <c r="D514" t="s">
        <v>1073</v>
      </c>
      <c r="E514" t="str">
        <f>"1591845556"</f>
        <v>1591845556</v>
      </c>
      <c r="F514" t="str">
        <f>"9781591845553"</f>
        <v>9781591845553</v>
      </c>
      <c r="G514">
        <v>0</v>
      </c>
      <c r="H514">
        <v>3.5</v>
      </c>
      <c r="I514" t="s">
        <v>1243</v>
      </c>
      <c r="J514" t="s">
        <v>1509</v>
      </c>
      <c r="K514">
        <v>288</v>
      </c>
      <c r="L514">
        <v>2013</v>
      </c>
      <c r="M514">
        <v>2013</v>
      </c>
      <c r="O514" t="s">
        <v>1653</v>
      </c>
      <c r="P514" t="s">
        <v>1711</v>
      </c>
      <c r="T514">
        <v>0</v>
      </c>
      <c r="W514">
        <v>0</v>
      </c>
    </row>
    <row r="515" spans="1:23" x14ac:dyDescent="0.2">
      <c r="A515" s="1">
        <v>513</v>
      </c>
      <c r="B515">
        <v>221267</v>
      </c>
      <c r="C515" t="s">
        <v>539</v>
      </c>
      <c r="D515" t="s">
        <v>1074</v>
      </c>
      <c r="E515" t="str">
        <f>"0671024396"</f>
        <v>0671024396</v>
      </c>
      <c r="F515" t="str">
        <f>"9780671024390"</f>
        <v>9780671024390</v>
      </c>
      <c r="G515">
        <v>0</v>
      </c>
      <c r="H515">
        <v>3.92</v>
      </c>
      <c r="I515" t="s">
        <v>1464</v>
      </c>
      <c r="J515" t="s">
        <v>1507</v>
      </c>
      <c r="K515">
        <v>304</v>
      </c>
      <c r="L515">
        <v>1998</v>
      </c>
      <c r="M515">
        <v>1998</v>
      </c>
      <c r="O515" t="s">
        <v>1653</v>
      </c>
      <c r="P515" t="s">
        <v>1711</v>
      </c>
      <c r="T515">
        <v>0</v>
      </c>
      <c r="W515">
        <v>0</v>
      </c>
    </row>
    <row r="516" spans="1:23" x14ac:dyDescent="0.2">
      <c r="A516" s="1">
        <v>514</v>
      </c>
      <c r="B516">
        <v>90578</v>
      </c>
      <c r="C516" t="s">
        <v>540</v>
      </c>
      <c r="D516" t="s">
        <v>1074</v>
      </c>
      <c r="E516" t="str">
        <f>"0671024418"</f>
        <v>0671024418</v>
      </c>
      <c r="F516" t="str">
        <f>"9780671024413"</f>
        <v>9780671024413</v>
      </c>
      <c r="G516">
        <v>0</v>
      </c>
      <c r="H516">
        <v>4.04</v>
      </c>
      <c r="I516" t="s">
        <v>1464</v>
      </c>
      <c r="J516" t="s">
        <v>1507</v>
      </c>
      <c r="K516">
        <v>352</v>
      </c>
      <c r="L516">
        <v>1999</v>
      </c>
      <c r="M516">
        <v>1999</v>
      </c>
      <c r="O516" t="s">
        <v>1653</v>
      </c>
      <c r="P516" t="s">
        <v>1711</v>
      </c>
      <c r="T516">
        <v>0</v>
      </c>
      <c r="W516">
        <v>0</v>
      </c>
    </row>
    <row r="517" spans="1:23" x14ac:dyDescent="0.2">
      <c r="A517" s="1">
        <v>515</v>
      </c>
      <c r="B517">
        <v>870819</v>
      </c>
      <c r="C517" t="s">
        <v>541</v>
      </c>
      <c r="D517" t="s">
        <v>1074</v>
      </c>
      <c r="E517" t="str">
        <f>"067178496X"</f>
        <v>067178496X</v>
      </c>
      <c r="F517" t="str">
        <f>"9780671784966"</f>
        <v>9780671784966</v>
      </c>
      <c r="G517">
        <v>0</v>
      </c>
      <c r="H517">
        <v>3.99</v>
      </c>
      <c r="I517" t="s">
        <v>1464</v>
      </c>
      <c r="J517" t="s">
        <v>1507</v>
      </c>
      <c r="K517">
        <v>288</v>
      </c>
      <c r="L517">
        <v>2000</v>
      </c>
      <c r="M517">
        <v>2000</v>
      </c>
      <c r="O517" t="s">
        <v>1653</v>
      </c>
      <c r="P517" t="s">
        <v>1711</v>
      </c>
      <c r="T517">
        <v>0</v>
      </c>
      <c r="W517">
        <v>0</v>
      </c>
    </row>
    <row r="518" spans="1:23" x14ac:dyDescent="0.2">
      <c r="A518" s="1">
        <v>516</v>
      </c>
      <c r="B518">
        <v>221269</v>
      </c>
      <c r="C518" t="s">
        <v>542</v>
      </c>
      <c r="D518" t="s">
        <v>1074</v>
      </c>
      <c r="E518" t="str">
        <f>"067102440X"</f>
        <v>067102440X</v>
      </c>
      <c r="F518" t="str">
        <f>"9780671024406"</f>
        <v>9780671024406</v>
      </c>
      <c r="G518">
        <v>0</v>
      </c>
      <c r="H518">
        <v>3.64</v>
      </c>
      <c r="I518" t="s">
        <v>1464</v>
      </c>
      <c r="J518" t="s">
        <v>1507</v>
      </c>
      <c r="K518">
        <v>256</v>
      </c>
      <c r="L518">
        <v>1998</v>
      </c>
      <c r="M518">
        <v>1998</v>
      </c>
      <c r="O518" t="s">
        <v>1653</v>
      </c>
      <c r="P518" t="s">
        <v>1711</v>
      </c>
      <c r="T518">
        <v>0</v>
      </c>
      <c r="W518">
        <v>0</v>
      </c>
    </row>
    <row r="519" spans="1:23" x14ac:dyDescent="0.2">
      <c r="A519" s="1">
        <v>517</v>
      </c>
      <c r="B519">
        <v>221268</v>
      </c>
      <c r="C519" t="s">
        <v>543</v>
      </c>
      <c r="D519" t="s">
        <v>1074</v>
      </c>
      <c r="E519" t="str">
        <f>"0671024426"</f>
        <v>0671024426</v>
      </c>
      <c r="F519" t="str">
        <f>"9780671024420"</f>
        <v>9780671024420</v>
      </c>
      <c r="G519">
        <v>0</v>
      </c>
      <c r="H519">
        <v>3.77</v>
      </c>
      <c r="I519" t="s">
        <v>1464</v>
      </c>
      <c r="J519" t="s">
        <v>1507</v>
      </c>
      <c r="K519">
        <v>256</v>
      </c>
      <c r="L519">
        <v>1999</v>
      </c>
      <c r="M519">
        <v>1999</v>
      </c>
      <c r="O519" t="s">
        <v>1653</v>
      </c>
      <c r="P519" t="s">
        <v>1711</v>
      </c>
      <c r="T519">
        <v>0</v>
      </c>
      <c r="W519">
        <v>0</v>
      </c>
    </row>
    <row r="520" spans="1:23" x14ac:dyDescent="0.2">
      <c r="A520" s="1">
        <v>518</v>
      </c>
      <c r="B520">
        <v>221271</v>
      </c>
      <c r="C520" t="s">
        <v>544</v>
      </c>
      <c r="D520" t="s">
        <v>1074</v>
      </c>
      <c r="E520" t="str">
        <f>"0671784986"</f>
        <v>0671784986</v>
      </c>
      <c r="F520" t="str">
        <f>"9780671784980"</f>
        <v>9780671784980</v>
      </c>
      <c r="G520">
        <v>0</v>
      </c>
      <c r="H520">
        <v>3.92</v>
      </c>
      <c r="I520" t="s">
        <v>1465</v>
      </c>
      <c r="J520" t="s">
        <v>1507</v>
      </c>
      <c r="K520">
        <v>256</v>
      </c>
      <c r="L520">
        <v>2001</v>
      </c>
      <c r="M520">
        <v>2001</v>
      </c>
      <c r="O520" t="s">
        <v>1653</v>
      </c>
      <c r="P520" t="s">
        <v>1711</v>
      </c>
      <c r="T520">
        <v>0</v>
      </c>
      <c r="W520">
        <v>0</v>
      </c>
    </row>
    <row r="521" spans="1:23" x14ac:dyDescent="0.2">
      <c r="A521" s="1">
        <v>519</v>
      </c>
      <c r="B521">
        <v>140479</v>
      </c>
      <c r="C521" t="s">
        <v>545</v>
      </c>
      <c r="D521" t="s">
        <v>1074</v>
      </c>
      <c r="E521" t="str">
        <f>"0671785117"</f>
        <v>0671785117</v>
      </c>
      <c r="F521" t="str">
        <f>"9780671785116"</f>
        <v>9780671785116</v>
      </c>
      <c r="G521">
        <v>0</v>
      </c>
      <c r="H521">
        <v>3.88</v>
      </c>
      <c r="I521" t="s">
        <v>1466</v>
      </c>
      <c r="J521" t="s">
        <v>1507</v>
      </c>
      <c r="K521">
        <v>288</v>
      </c>
      <c r="L521">
        <v>2004</v>
      </c>
      <c r="M521">
        <v>2004</v>
      </c>
      <c r="O521" t="s">
        <v>1653</v>
      </c>
      <c r="P521" t="s">
        <v>1711</v>
      </c>
      <c r="T521">
        <v>0</v>
      </c>
      <c r="W521">
        <v>0</v>
      </c>
    </row>
    <row r="522" spans="1:23" x14ac:dyDescent="0.2">
      <c r="A522" s="1">
        <v>520</v>
      </c>
      <c r="B522">
        <v>2714607</v>
      </c>
      <c r="C522" t="s">
        <v>546</v>
      </c>
      <c r="D522" t="s">
        <v>863</v>
      </c>
      <c r="E522" t="str">
        <f>"1594201927"</f>
        <v>1594201927</v>
      </c>
      <c r="F522" t="str">
        <f>"9781594201929"</f>
        <v>9781594201929</v>
      </c>
      <c r="G522">
        <v>0</v>
      </c>
      <c r="H522">
        <v>3.9</v>
      </c>
      <c r="I522" t="s">
        <v>1321</v>
      </c>
      <c r="J522" t="s">
        <v>1509</v>
      </c>
      <c r="K522">
        <v>442</v>
      </c>
      <c r="L522">
        <v>2008</v>
      </c>
      <c r="M522">
        <v>2007</v>
      </c>
      <c r="O522" t="s">
        <v>1653</v>
      </c>
      <c r="P522" t="s">
        <v>1711</v>
      </c>
      <c r="T522">
        <v>0</v>
      </c>
      <c r="W522">
        <v>0</v>
      </c>
    </row>
    <row r="523" spans="1:23" x14ac:dyDescent="0.2">
      <c r="A523" s="1">
        <v>521</v>
      </c>
      <c r="B523">
        <v>25329850</v>
      </c>
      <c r="C523" t="s">
        <v>547</v>
      </c>
      <c r="D523" t="s">
        <v>989</v>
      </c>
      <c r="E523" t="str">
        <f>"0544668251"</f>
        <v>0544668251</v>
      </c>
      <c r="F523" t="str">
        <f>"9780544668256"</f>
        <v>9780544668256</v>
      </c>
      <c r="G523">
        <v>0</v>
      </c>
      <c r="H523">
        <v>4.1500000000000004</v>
      </c>
      <c r="I523" t="s">
        <v>1232</v>
      </c>
      <c r="J523" t="s">
        <v>1509</v>
      </c>
      <c r="K523">
        <v>64</v>
      </c>
      <c r="L523">
        <v>2015</v>
      </c>
      <c r="M523">
        <v>2015</v>
      </c>
      <c r="O523" t="s">
        <v>1653</v>
      </c>
      <c r="P523" t="s">
        <v>1711</v>
      </c>
      <c r="T523">
        <v>0</v>
      </c>
      <c r="W523">
        <v>0</v>
      </c>
    </row>
    <row r="524" spans="1:23" x14ac:dyDescent="0.2">
      <c r="A524" s="1">
        <v>522</v>
      </c>
      <c r="B524">
        <v>385</v>
      </c>
      <c r="C524" t="s">
        <v>548</v>
      </c>
      <c r="D524" t="s">
        <v>1075</v>
      </c>
      <c r="E524" t="str">
        <f>"0691122946"</f>
        <v>0691122946</v>
      </c>
      <c r="F524" t="str">
        <f>"9780691122946"</f>
        <v>9780691122946</v>
      </c>
      <c r="G524">
        <v>0</v>
      </c>
      <c r="H524">
        <v>3.58</v>
      </c>
      <c r="I524" t="s">
        <v>1324</v>
      </c>
      <c r="J524" t="s">
        <v>1509</v>
      </c>
      <c r="K524">
        <v>74</v>
      </c>
      <c r="L524">
        <v>2005</v>
      </c>
      <c r="M524">
        <v>1986</v>
      </c>
      <c r="O524" t="s">
        <v>1653</v>
      </c>
      <c r="P524" t="s">
        <v>1711</v>
      </c>
      <c r="T524">
        <v>0</v>
      </c>
      <c r="W524">
        <v>0</v>
      </c>
    </row>
    <row r="525" spans="1:23" x14ac:dyDescent="0.2">
      <c r="A525" s="1">
        <v>523</v>
      </c>
      <c r="B525">
        <v>6084575</v>
      </c>
      <c r="C525" t="s">
        <v>549</v>
      </c>
      <c r="D525" t="s">
        <v>1076</v>
      </c>
      <c r="E525" t="str">
        <f>"0465041957"</f>
        <v>0465041957</v>
      </c>
      <c r="F525" t="str">
        <f>"9780465041954"</f>
        <v>9780465041954</v>
      </c>
      <c r="G525">
        <v>0</v>
      </c>
      <c r="H525">
        <v>3.57</v>
      </c>
      <c r="I525" t="s">
        <v>1170</v>
      </c>
      <c r="J525" t="s">
        <v>1509</v>
      </c>
      <c r="K525">
        <v>448</v>
      </c>
      <c r="L525">
        <v>2000</v>
      </c>
      <c r="M525">
        <v>2000</v>
      </c>
      <c r="O525" t="s">
        <v>1653</v>
      </c>
      <c r="P525" t="s">
        <v>1711</v>
      </c>
      <c r="T525">
        <v>0</v>
      </c>
      <c r="W525">
        <v>0</v>
      </c>
    </row>
    <row r="526" spans="1:23" x14ac:dyDescent="0.2">
      <c r="A526" s="1">
        <v>524</v>
      </c>
      <c r="B526">
        <v>19244102</v>
      </c>
      <c r="C526" t="s">
        <v>550</v>
      </c>
      <c r="D526" t="s">
        <v>1077</v>
      </c>
      <c r="E526" t="str">
        <f>""</f>
        <v/>
      </c>
      <c r="F526" t="str">
        <f>""</f>
        <v/>
      </c>
      <c r="G526">
        <v>0</v>
      </c>
      <c r="H526">
        <v>4.25</v>
      </c>
      <c r="I526" t="s">
        <v>1409</v>
      </c>
      <c r="J526" t="s">
        <v>1511</v>
      </c>
      <c r="K526">
        <v>205</v>
      </c>
      <c r="L526">
        <v>2012</v>
      </c>
      <c r="M526">
        <v>1979</v>
      </c>
      <c r="O526" t="s">
        <v>1653</v>
      </c>
      <c r="P526" t="s">
        <v>1711</v>
      </c>
      <c r="T526">
        <v>0</v>
      </c>
      <c r="W526">
        <v>0</v>
      </c>
    </row>
    <row r="527" spans="1:23" x14ac:dyDescent="0.2">
      <c r="A527" s="1">
        <v>525</v>
      </c>
      <c r="B527">
        <v>25852784</v>
      </c>
      <c r="C527" t="s">
        <v>551</v>
      </c>
      <c r="D527" t="s">
        <v>1078</v>
      </c>
      <c r="E527" t="str">
        <f>"0553447432"</f>
        <v>0553447432</v>
      </c>
      <c r="F527" t="str">
        <f>"9780553447439"</f>
        <v>9780553447439</v>
      </c>
      <c r="G527">
        <v>0</v>
      </c>
      <c r="H527">
        <v>4.47</v>
      </c>
      <c r="I527" t="s">
        <v>1467</v>
      </c>
      <c r="J527" t="s">
        <v>1509</v>
      </c>
      <c r="K527">
        <v>418</v>
      </c>
      <c r="L527">
        <v>2016</v>
      </c>
      <c r="M527">
        <v>2016</v>
      </c>
      <c r="O527" t="s">
        <v>1653</v>
      </c>
      <c r="P527" t="s">
        <v>1711</v>
      </c>
      <c r="T527">
        <v>0</v>
      </c>
      <c r="W527">
        <v>0</v>
      </c>
    </row>
    <row r="528" spans="1:23" x14ac:dyDescent="0.2">
      <c r="A528" s="1">
        <v>526</v>
      </c>
      <c r="B528">
        <v>13369533</v>
      </c>
      <c r="C528" t="s">
        <v>552</v>
      </c>
      <c r="D528" t="s">
        <v>1079</v>
      </c>
      <c r="E528" t="str">
        <f>"0241143810"</f>
        <v>0241143810</v>
      </c>
      <c r="F528" t="str">
        <f>"9780241143810"</f>
        <v>9780241143810</v>
      </c>
      <c r="G528">
        <v>0</v>
      </c>
      <c r="H528">
        <v>4.16</v>
      </c>
      <c r="I528" t="s">
        <v>1468</v>
      </c>
      <c r="J528" t="s">
        <v>1509</v>
      </c>
      <c r="K528">
        <v>433</v>
      </c>
      <c r="L528">
        <v>2012</v>
      </c>
      <c r="M528">
        <v>2012</v>
      </c>
      <c r="O528" t="s">
        <v>1653</v>
      </c>
      <c r="P528" t="s">
        <v>1711</v>
      </c>
      <c r="T528">
        <v>0</v>
      </c>
      <c r="W528">
        <v>0</v>
      </c>
    </row>
    <row r="529" spans="1:23" x14ac:dyDescent="0.2">
      <c r="A529" s="1">
        <v>527</v>
      </c>
      <c r="B529">
        <v>117031</v>
      </c>
      <c r="C529" t="s">
        <v>553</v>
      </c>
      <c r="D529" t="s">
        <v>1080</v>
      </c>
      <c r="E529" t="str">
        <f>"0691018545"</f>
        <v>0691018545</v>
      </c>
      <c r="F529" t="str">
        <f>"9780691018546"</f>
        <v>9780691018546</v>
      </c>
      <c r="G529">
        <v>0</v>
      </c>
      <c r="H529">
        <v>3.98</v>
      </c>
      <c r="I529" t="s">
        <v>1324</v>
      </c>
      <c r="J529" t="s">
        <v>1507</v>
      </c>
      <c r="K529">
        <v>752</v>
      </c>
      <c r="L529">
        <v>1989</v>
      </c>
      <c r="M529">
        <v>1832</v>
      </c>
      <c r="O529" t="s">
        <v>1653</v>
      </c>
      <c r="P529" t="s">
        <v>1711</v>
      </c>
      <c r="T529">
        <v>0</v>
      </c>
      <c r="W529">
        <v>0</v>
      </c>
    </row>
    <row r="530" spans="1:23" x14ac:dyDescent="0.2">
      <c r="A530" s="1">
        <v>528</v>
      </c>
      <c r="B530">
        <v>108854</v>
      </c>
      <c r="C530" t="s">
        <v>554</v>
      </c>
      <c r="D530" t="s">
        <v>1081</v>
      </c>
      <c r="E530" t="str">
        <f>"0907871046"</f>
        <v>0907871046</v>
      </c>
      <c r="F530" t="str">
        <f>"9780907871040"</f>
        <v>9780907871040</v>
      </c>
      <c r="G530">
        <v>0</v>
      </c>
      <c r="H530">
        <v>3.86</v>
      </c>
      <c r="I530" t="s">
        <v>1469</v>
      </c>
      <c r="J530" t="s">
        <v>1507</v>
      </c>
      <c r="K530">
        <v>384</v>
      </c>
      <c r="L530">
        <v>2004</v>
      </c>
      <c r="M530">
        <v>1799</v>
      </c>
      <c r="O530" t="s">
        <v>1653</v>
      </c>
      <c r="P530" t="s">
        <v>1711</v>
      </c>
      <c r="T530">
        <v>0</v>
      </c>
      <c r="W530">
        <v>0</v>
      </c>
    </row>
    <row r="531" spans="1:23" x14ac:dyDescent="0.2">
      <c r="A531" s="1">
        <v>529</v>
      </c>
      <c r="B531">
        <v>57936</v>
      </c>
      <c r="C531" t="s">
        <v>555</v>
      </c>
      <c r="D531" t="s">
        <v>1082</v>
      </c>
      <c r="E531" t="str">
        <f>"0385418957"</f>
        <v>0385418957</v>
      </c>
      <c r="F531" t="str">
        <f>"9780385418959"</f>
        <v>9780385418959</v>
      </c>
      <c r="G531">
        <v>0</v>
      </c>
      <c r="H531">
        <v>3.9</v>
      </c>
      <c r="I531" t="s">
        <v>1373</v>
      </c>
      <c r="J531" t="s">
        <v>1507</v>
      </c>
      <c r="K531">
        <v>784</v>
      </c>
      <c r="L531">
        <v>1991</v>
      </c>
      <c r="M531">
        <v>1922</v>
      </c>
      <c r="O531" t="s">
        <v>1653</v>
      </c>
      <c r="P531" t="s">
        <v>1711</v>
      </c>
      <c r="T531">
        <v>0</v>
      </c>
      <c r="W531">
        <v>0</v>
      </c>
    </row>
    <row r="532" spans="1:23" x14ac:dyDescent="0.2">
      <c r="A532" s="1">
        <v>530</v>
      </c>
      <c r="B532">
        <v>45700960</v>
      </c>
      <c r="C532" t="s">
        <v>556</v>
      </c>
      <c r="D532" t="s">
        <v>1083</v>
      </c>
      <c r="E532" t="str">
        <f>"1947864157"</f>
        <v>1947864157</v>
      </c>
      <c r="F532" t="str">
        <f>"9781947864153"</f>
        <v>9781947864153</v>
      </c>
      <c r="G532">
        <v>0</v>
      </c>
      <c r="H532">
        <v>3.84</v>
      </c>
      <c r="I532" t="s">
        <v>1470</v>
      </c>
      <c r="J532" t="s">
        <v>1507</v>
      </c>
      <c r="K532">
        <v>396</v>
      </c>
      <c r="L532">
        <v>2019</v>
      </c>
      <c r="O532" t="s">
        <v>1653</v>
      </c>
      <c r="P532" t="s">
        <v>1711</v>
      </c>
      <c r="T532">
        <v>0</v>
      </c>
      <c r="W532">
        <v>0</v>
      </c>
    </row>
    <row r="533" spans="1:23" x14ac:dyDescent="0.2">
      <c r="A533" s="1">
        <v>531</v>
      </c>
      <c r="B533">
        <v>11387954</v>
      </c>
      <c r="C533" t="s">
        <v>557</v>
      </c>
      <c r="D533" t="s">
        <v>1084</v>
      </c>
      <c r="E533" t="str">
        <f>""</f>
        <v/>
      </c>
      <c r="F533" t="str">
        <f>""</f>
        <v/>
      </c>
      <c r="G533">
        <v>0</v>
      </c>
      <c r="H533">
        <v>3.59</v>
      </c>
      <c r="J533" t="s">
        <v>1511</v>
      </c>
      <c r="M533">
        <v>1285</v>
      </c>
      <c r="O533" t="s">
        <v>1653</v>
      </c>
      <c r="P533" t="s">
        <v>1711</v>
      </c>
      <c r="T533">
        <v>0</v>
      </c>
      <c r="W533">
        <v>0</v>
      </c>
    </row>
    <row r="534" spans="1:23" x14ac:dyDescent="0.2">
      <c r="A534" s="1">
        <v>532</v>
      </c>
      <c r="B534">
        <v>6304874</v>
      </c>
      <c r="C534" t="s">
        <v>558</v>
      </c>
      <c r="D534" t="s">
        <v>1084</v>
      </c>
      <c r="E534" t="str">
        <f>""</f>
        <v/>
      </c>
      <c r="F534" t="str">
        <f>""</f>
        <v/>
      </c>
      <c r="G534">
        <v>0</v>
      </c>
      <c r="H534">
        <v>3.6</v>
      </c>
      <c r="I534" t="s">
        <v>1471</v>
      </c>
      <c r="J534" t="s">
        <v>1511</v>
      </c>
      <c r="K534">
        <v>874</v>
      </c>
      <c r="M534">
        <v>1285</v>
      </c>
      <c r="O534" t="s">
        <v>1653</v>
      </c>
      <c r="P534" t="s">
        <v>1711</v>
      </c>
      <c r="T534">
        <v>0</v>
      </c>
      <c r="W534">
        <v>0</v>
      </c>
    </row>
    <row r="535" spans="1:23" x14ac:dyDescent="0.2">
      <c r="A535" s="1">
        <v>533</v>
      </c>
      <c r="B535">
        <v>270032</v>
      </c>
      <c r="C535" t="s">
        <v>559</v>
      </c>
      <c r="D535" t="s">
        <v>1085</v>
      </c>
      <c r="E535" t="str">
        <f>"0874778883"</f>
        <v>0874778883</v>
      </c>
      <c r="F535" t="str">
        <f>"9780874778885"</f>
        <v>9780874778885</v>
      </c>
      <c r="G535">
        <v>0</v>
      </c>
      <c r="H535">
        <v>4.09</v>
      </c>
      <c r="I535" t="s">
        <v>1472</v>
      </c>
      <c r="J535" t="s">
        <v>1507</v>
      </c>
      <c r="K535">
        <v>330</v>
      </c>
      <c r="L535">
        <v>1997</v>
      </c>
      <c r="M535">
        <v>1953</v>
      </c>
      <c r="O535" t="s">
        <v>1653</v>
      </c>
      <c r="P535" t="s">
        <v>1711</v>
      </c>
      <c r="T535">
        <v>0</v>
      </c>
      <c r="W535">
        <v>0</v>
      </c>
    </row>
    <row r="536" spans="1:23" x14ac:dyDescent="0.2">
      <c r="A536" s="1">
        <v>534</v>
      </c>
      <c r="B536">
        <v>13542772</v>
      </c>
      <c r="C536" t="s">
        <v>560</v>
      </c>
      <c r="D536" t="s">
        <v>1086</v>
      </c>
      <c r="E536" t="str">
        <f>"1591844924"</f>
        <v>1591844924</v>
      </c>
      <c r="F536" t="str">
        <f>"9781591844921"</f>
        <v>9781591844921</v>
      </c>
      <c r="G536">
        <v>0</v>
      </c>
      <c r="H536">
        <v>3.83</v>
      </c>
      <c r="I536" t="s">
        <v>1243</v>
      </c>
      <c r="J536" t="s">
        <v>1509</v>
      </c>
      <c r="K536">
        <v>256</v>
      </c>
      <c r="L536">
        <v>2012</v>
      </c>
      <c r="M536">
        <v>2012</v>
      </c>
      <c r="O536" t="s">
        <v>1653</v>
      </c>
      <c r="P536" t="s">
        <v>1711</v>
      </c>
      <c r="T536">
        <v>0</v>
      </c>
      <c r="W536">
        <v>0</v>
      </c>
    </row>
    <row r="537" spans="1:23" x14ac:dyDescent="0.2">
      <c r="A537" s="1">
        <v>535</v>
      </c>
      <c r="B537">
        <v>20186</v>
      </c>
      <c r="C537" t="s">
        <v>561</v>
      </c>
      <c r="D537" t="s">
        <v>1087</v>
      </c>
      <c r="E537" t="str">
        <f>"0300078153"</f>
        <v>0300078153</v>
      </c>
      <c r="F537" t="str">
        <f>"9780300078152"</f>
        <v>9780300078152</v>
      </c>
      <c r="G537">
        <v>0</v>
      </c>
      <c r="H537">
        <v>4.2</v>
      </c>
      <c r="I537" t="s">
        <v>1451</v>
      </c>
      <c r="J537" t="s">
        <v>1507</v>
      </c>
      <c r="K537">
        <v>445</v>
      </c>
      <c r="L537">
        <v>1998</v>
      </c>
      <c r="M537">
        <v>1998</v>
      </c>
      <c r="O537" t="s">
        <v>1653</v>
      </c>
      <c r="P537" t="s">
        <v>1711</v>
      </c>
      <c r="T537">
        <v>0</v>
      </c>
      <c r="W537">
        <v>0</v>
      </c>
    </row>
    <row r="538" spans="1:23" x14ac:dyDescent="0.2">
      <c r="A538" s="1">
        <v>536</v>
      </c>
      <c r="B538">
        <v>44643351</v>
      </c>
      <c r="C538" t="s">
        <v>562</v>
      </c>
      <c r="D538" t="s">
        <v>1088</v>
      </c>
      <c r="E538" t="str">
        <f>"0802127436"</f>
        <v>0802127436</v>
      </c>
      <c r="F538" t="str">
        <f>"9780802127433"</f>
        <v>9780802127433</v>
      </c>
      <c r="G538">
        <v>0</v>
      </c>
      <c r="H538">
        <v>4.0199999999999996</v>
      </c>
      <c r="I538" t="s">
        <v>1225</v>
      </c>
      <c r="J538" t="s">
        <v>1509</v>
      </c>
      <c r="K538">
        <v>356</v>
      </c>
      <c r="L538">
        <v>2019</v>
      </c>
      <c r="M538">
        <v>2019</v>
      </c>
      <c r="O538" t="s">
        <v>1653</v>
      </c>
      <c r="P538" t="s">
        <v>1711</v>
      </c>
      <c r="T538">
        <v>0</v>
      </c>
      <c r="W538">
        <v>0</v>
      </c>
    </row>
    <row r="539" spans="1:23" x14ac:dyDescent="0.2">
      <c r="A539" s="1">
        <v>537</v>
      </c>
      <c r="B539">
        <v>1102716</v>
      </c>
      <c r="C539" t="s">
        <v>563</v>
      </c>
      <c r="D539" t="s">
        <v>1089</v>
      </c>
      <c r="E539" t="str">
        <f>"047148735X"</f>
        <v>047148735X</v>
      </c>
      <c r="F539" t="str">
        <f>"9780471487357"</f>
        <v>9780471487357</v>
      </c>
      <c r="G539">
        <v>0</v>
      </c>
      <c r="H539">
        <v>4.0599999999999996</v>
      </c>
      <c r="I539" t="s">
        <v>1310</v>
      </c>
      <c r="J539" t="s">
        <v>1509</v>
      </c>
      <c r="L539">
        <v>2004</v>
      </c>
      <c r="M539">
        <v>1976</v>
      </c>
      <c r="O539" t="s">
        <v>1653</v>
      </c>
      <c r="P539" t="s">
        <v>1711</v>
      </c>
      <c r="T539">
        <v>0</v>
      </c>
      <c r="W539">
        <v>0</v>
      </c>
    </row>
    <row r="540" spans="1:23" x14ac:dyDescent="0.2">
      <c r="A540" s="1">
        <v>538</v>
      </c>
      <c r="B540">
        <v>241434</v>
      </c>
      <c r="C540" t="s">
        <v>564</v>
      </c>
      <c r="D540" t="s">
        <v>1090</v>
      </c>
      <c r="E540" t="str">
        <f>"0684831481"</f>
        <v>0684831481</v>
      </c>
      <c r="F540" t="str">
        <f>"9780684831480"</f>
        <v>9780684831480</v>
      </c>
      <c r="G540">
        <v>0</v>
      </c>
      <c r="H540">
        <v>3.72</v>
      </c>
      <c r="I540" t="s">
        <v>1350</v>
      </c>
      <c r="J540" t="s">
        <v>1507</v>
      </c>
      <c r="K540">
        <v>368</v>
      </c>
      <c r="L540">
        <v>1997</v>
      </c>
      <c r="M540">
        <v>1996</v>
      </c>
      <c r="O540" t="s">
        <v>1653</v>
      </c>
      <c r="P540" t="s">
        <v>1711</v>
      </c>
      <c r="T540">
        <v>0</v>
      </c>
      <c r="W540">
        <v>0</v>
      </c>
    </row>
    <row r="541" spans="1:23" x14ac:dyDescent="0.2">
      <c r="A541" s="1">
        <v>539</v>
      </c>
      <c r="B541">
        <v>558059</v>
      </c>
      <c r="C541" t="s">
        <v>565</v>
      </c>
      <c r="D541" t="s">
        <v>1091</v>
      </c>
      <c r="E541" t="str">
        <f>"0716711869"</f>
        <v>0716711869</v>
      </c>
      <c r="F541" t="str">
        <f>"9780716711865"</f>
        <v>9780716711865</v>
      </c>
      <c r="G541">
        <v>0</v>
      </c>
      <c r="H541">
        <v>4.21</v>
      </c>
      <c r="I541" t="s">
        <v>1235</v>
      </c>
      <c r="J541" t="s">
        <v>1509</v>
      </c>
      <c r="K541">
        <v>480</v>
      </c>
      <c r="L541">
        <v>1982</v>
      </c>
      <c r="M541">
        <v>1977</v>
      </c>
      <c r="O541" t="s">
        <v>1653</v>
      </c>
      <c r="P541" t="s">
        <v>1711</v>
      </c>
      <c r="T541">
        <v>0</v>
      </c>
      <c r="W541">
        <v>0</v>
      </c>
    </row>
    <row r="542" spans="1:23" x14ac:dyDescent="0.2">
      <c r="A542" s="1">
        <v>540</v>
      </c>
      <c r="B542">
        <v>389603</v>
      </c>
      <c r="C542" t="s">
        <v>566</v>
      </c>
      <c r="D542" t="s">
        <v>1091</v>
      </c>
      <c r="E542" t="str">
        <f>"0465043577"</f>
        <v>0465043577</v>
      </c>
      <c r="F542" t="str">
        <f>"9780465043576"</f>
        <v>9780465043576</v>
      </c>
      <c r="G542">
        <v>0</v>
      </c>
      <c r="H542">
        <v>4.07</v>
      </c>
      <c r="I542" t="s">
        <v>1170</v>
      </c>
      <c r="J542" t="s">
        <v>1507</v>
      </c>
      <c r="K542">
        <v>368</v>
      </c>
      <c r="L542">
        <v>2006</v>
      </c>
      <c r="M542">
        <v>1997</v>
      </c>
      <c r="O542" t="s">
        <v>1653</v>
      </c>
      <c r="P542" t="s">
        <v>1711</v>
      </c>
      <c r="T542">
        <v>0</v>
      </c>
      <c r="W542">
        <v>0</v>
      </c>
    </row>
    <row r="543" spans="1:23" x14ac:dyDescent="0.2">
      <c r="A543" s="1">
        <v>541</v>
      </c>
      <c r="B543">
        <v>18471784</v>
      </c>
      <c r="C543" t="s">
        <v>567</v>
      </c>
      <c r="D543" t="s">
        <v>1092</v>
      </c>
      <c r="E543" t="str">
        <f>"1780924488"</f>
        <v>1780924488</v>
      </c>
      <c r="F543" t="str">
        <f>"9781780924489"</f>
        <v>9781780924489</v>
      </c>
      <c r="G543">
        <v>0</v>
      </c>
      <c r="H543">
        <v>3.7</v>
      </c>
      <c r="I543" t="s">
        <v>1473</v>
      </c>
      <c r="J543" t="s">
        <v>1507</v>
      </c>
      <c r="K543">
        <v>88</v>
      </c>
      <c r="L543">
        <v>2013</v>
      </c>
      <c r="M543">
        <v>2013</v>
      </c>
      <c r="O543" t="s">
        <v>1653</v>
      </c>
      <c r="P543" t="s">
        <v>1711</v>
      </c>
      <c r="T543">
        <v>0</v>
      </c>
      <c r="W543">
        <v>0</v>
      </c>
    </row>
    <row r="544" spans="1:23" x14ac:dyDescent="0.2">
      <c r="A544" s="1">
        <v>542</v>
      </c>
      <c r="B544">
        <v>31448865</v>
      </c>
      <c r="C544" t="s">
        <v>568</v>
      </c>
      <c r="D544" t="s">
        <v>1093</v>
      </c>
      <c r="E544" t="str">
        <f>"9351777596"</f>
        <v>9351777596</v>
      </c>
      <c r="F544" t="str">
        <f>"9789351777595"</f>
        <v>9789351777595</v>
      </c>
      <c r="G544">
        <v>0</v>
      </c>
      <c r="H544">
        <v>3.97</v>
      </c>
      <c r="I544" t="s">
        <v>1224</v>
      </c>
      <c r="J544" t="s">
        <v>1509</v>
      </c>
      <c r="K544">
        <v>280</v>
      </c>
      <c r="L544">
        <v>2016</v>
      </c>
      <c r="O544" t="s">
        <v>1653</v>
      </c>
      <c r="P544" t="s">
        <v>1711</v>
      </c>
      <c r="T544">
        <v>0</v>
      </c>
      <c r="W544">
        <v>0</v>
      </c>
    </row>
    <row r="545" spans="1:23" x14ac:dyDescent="0.2">
      <c r="A545" s="1">
        <v>543</v>
      </c>
      <c r="B545">
        <v>695429</v>
      </c>
      <c r="C545" t="s">
        <v>569</v>
      </c>
      <c r="D545" t="s">
        <v>1094</v>
      </c>
      <c r="E545" t="str">
        <f>"0814758169"</f>
        <v>0814758169</v>
      </c>
      <c r="F545" t="str">
        <f>"9780814758168"</f>
        <v>9780814758168</v>
      </c>
      <c r="G545">
        <v>0</v>
      </c>
      <c r="H545">
        <v>4.17</v>
      </c>
      <c r="I545" t="s">
        <v>1474</v>
      </c>
      <c r="J545" t="s">
        <v>1509</v>
      </c>
      <c r="K545">
        <v>129</v>
      </c>
      <c r="L545">
        <v>2001</v>
      </c>
      <c r="M545">
        <v>1958</v>
      </c>
      <c r="O545" t="s">
        <v>1653</v>
      </c>
      <c r="P545" t="s">
        <v>1711</v>
      </c>
      <c r="T545">
        <v>0</v>
      </c>
      <c r="W545">
        <v>0</v>
      </c>
    </row>
    <row r="546" spans="1:23" x14ac:dyDescent="0.2">
      <c r="A546" s="1">
        <v>544</v>
      </c>
      <c r="B546">
        <v>123471</v>
      </c>
      <c r="C546" t="s">
        <v>570</v>
      </c>
      <c r="D546" t="s">
        <v>738</v>
      </c>
      <c r="E546" t="str">
        <f>"0465030785"</f>
        <v>0465030785</v>
      </c>
      <c r="F546" t="str">
        <f>"9780465030781"</f>
        <v>9780465030781</v>
      </c>
      <c r="G546">
        <v>0</v>
      </c>
      <c r="H546">
        <v>3.95</v>
      </c>
      <c r="I546" t="s">
        <v>1333</v>
      </c>
      <c r="J546" t="s">
        <v>1509</v>
      </c>
      <c r="K546">
        <v>412</v>
      </c>
      <c r="L546">
        <v>2007</v>
      </c>
      <c r="M546">
        <v>2007</v>
      </c>
      <c r="O546" t="s">
        <v>1653</v>
      </c>
      <c r="P546" t="s">
        <v>1711</v>
      </c>
      <c r="T546">
        <v>0</v>
      </c>
      <c r="W546">
        <v>0</v>
      </c>
    </row>
    <row r="547" spans="1:23" x14ac:dyDescent="0.2">
      <c r="A547" s="1">
        <v>545</v>
      </c>
      <c r="B547">
        <v>213337</v>
      </c>
      <c r="C547" t="s">
        <v>571</v>
      </c>
      <c r="D547" t="s">
        <v>1095</v>
      </c>
      <c r="E547" t="str">
        <f>"079226987X"</f>
        <v>079226987X</v>
      </c>
      <c r="F547" t="str">
        <f>"9780792269878"</f>
        <v>9780792269878</v>
      </c>
      <c r="G547">
        <v>0</v>
      </c>
      <c r="H547">
        <v>4.05</v>
      </c>
      <c r="I547" t="s">
        <v>1387</v>
      </c>
      <c r="J547" t="s">
        <v>1507</v>
      </c>
      <c r="K547">
        <v>500</v>
      </c>
      <c r="L547">
        <v>2003</v>
      </c>
      <c r="M547">
        <v>1925</v>
      </c>
      <c r="O547" t="s">
        <v>1653</v>
      </c>
      <c r="P547" t="s">
        <v>1711</v>
      </c>
      <c r="T547">
        <v>0</v>
      </c>
      <c r="W547">
        <v>0</v>
      </c>
    </row>
    <row r="548" spans="1:23" x14ac:dyDescent="0.2">
      <c r="A548" s="1">
        <v>546</v>
      </c>
      <c r="B548">
        <v>556661</v>
      </c>
      <c r="C548" t="s">
        <v>572</v>
      </c>
      <c r="D548" t="s">
        <v>1096</v>
      </c>
      <c r="E548" t="str">
        <f>"1843410036"</f>
        <v>1843410036</v>
      </c>
      <c r="F548" t="str">
        <f>"9781843410034"</f>
        <v>9781843410034</v>
      </c>
      <c r="G548">
        <v>0</v>
      </c>
      <c r="H548">
        <v>4.09</v>
      </c>
      <c r="I548" t="s">
        <v>1475</v>
      </c>
      <c r="J548" t="s">
        <v>1507</v>
      </c>
      <c r="K548">
        <v>394</v>
      </c>
      <c r="L548">
        <v>2001</v>
      </c>
      <c r="M548">
        <v>1936</v>
      </c>
      <c r="O548" t="s">
        <v>1653</v>
      </c>
      <c r="P548" t="s">
        <v>1711</v>
      </c>
      <c r="T548">
        <v>0</v>
      </c>
      <c r="W548">
        <v>0</v>
      </c>
    </row>
    <row r="549" spans="1:23" x14ac:dyDescent="0.2">
      <c r="A549" s="1">
        <v>547</v>
      </c>
      <c r="B549">
        <v>118141</v>
      </c>
      <c r="C549" t="s">
        <v>573</v>
      </c>
      <c r="D549" t="s">
        <v>1067</v>
      </c>
      <c r="E549" t="str">
        <f>"1885283172"</f>
        <v>1885283172</v>
      </c>
      <c r="F549" t="str">
        <f>"9781885283177"</f>
        <v>9781885283177</v>
      </c>
      <c r="G549">
        <v>0</v>
      </c>
      <c r="H549">
        <v>3.98</v>
      </c>
      <c r="I549" t="s">
        <v>1476</v>
      </c>
      <c r="J549" t="s">
        <v>1509</v>
      </c>
      <c r="K549">
        <v>256</v>
      </c>
      <c r="L549">
        <v>1999</v>
      </c>
      <c r="M549">
        <v>1958</v>
      </c>
      <c r="O549" t="s">
        <v>1653</v>
      </c>
      <c r="P549" t="s">
        <v>1711</v>
      </c>
      <c r="T549">
        <v>0</v>
      </c>
      <c r="W549">
        <v>0</v>
      </c>
    </row>
    <row r="550" spans="1:23" x14ac:dyDescent="0.2">
      <c r="A550" s="1">
        <v>548</v>
      </c>
      <c r="B550">
        <v>42481212</v>
      </c>
      <c r="C550" t="s">
        <v>574</v>
      </c>
      <c r="D550" t="s">
        <v>1097</v>
      </c>
      <c r="E550" t="str">
        <f>"1789140641"</f>
        <v>1789140641</v>
      </c>
      <c r="F550" t="str">
        <f>"9781789140644"</f>
        <v>9781789140644</v>
      </c>
      <c r="G550">
        <v>0</v>
      </c>
      <c r="H550">
        <v>3.38</v>
      </c>
      <c r="I550" t="s">
        <v>1477</v>
      </c>
      <c r="J550" t="s">
        <v>1509</v>
      </c>
      <c r="K550">
        <v>272</v>
      </c>
      <c r="L550">
        <v>2019</v>
      </c>
      <c r="O550" t="s">
        <v>1653</v>
      </c>
      <c r="P550" t="s">
        <v>1711</v>
      </c>
      <c r="T550">
        <v>0</v>
      </c>
      <c r="W550">
        <v>0</v>
      </c>
    </row>
    <row r="551" spans="1:23" x14ac:dyDescent="0.2">
      <c r="A551" s="1">
        <v>549</v>
      </c>
      <c r="B551">
        <v>11179667</v>
      </c>
      <c r="C551" t="s">
        <v>575</v>
      </c>
      <c r="D551" t="s">
        <v>1098</v>
      </c>
      <c r="E551" t="str">
        <f>"1607614960"</f>
        <v>1607614960</v>
      </c>
      <c r="F551" t="str">
        <f>"9781607614968"</f>
        <v>9781607614968</v>
      </c>
      <c r="G551">
        <v>0</v>
      </c>
      <c r="H551">
        <v>3.75</v>
      </c>
      <c r="I551" t="s">
        <v>1319</v>
      </c>
      <c r="J551" t="s">
        <v>1507</v>
      </c>
      <c r="K551">
        <v>228</v>
      </c>
      <c r="L551">
        <v>2010</v>
      </c>
      <c r="M551">
        <v>2009</v>
      </c>
      <c r="O551" t="s">
        <v>1653</v>
      </c>
      <c r="P551" t="s">
        <v>1711</v>
      </c>
      <c r="T551">
        <v>0</v>
      </c>
      <c r="W551">
        <v>0</v>
      </c>
    </row>
    <row r="552" spans="1:23" x14ac:dyDescent="0.2">
      <c r="A552" s="1">
        <v>550</v>
      </c>
      <c r="B552">
        <v>62111</v>
      </c>
      <c r="C552" t="s">
        <v>576</v>
      </c>
      <c r="D552" t="s">
        <v>1099</v>
      </c>
      <c r="E552" t="str">
        <f>"1402726023"</f>
        <v>1402726023</v>
      </c>
      <c r="F552" t="str">
        <f>"9781402726026"</f>
        <v>9781402726026</v>
      </c>
      <c r="G552">
        <v>0</v>
      </c>
      <c r="H552">
        <v>3.91</v>
      </c>
      <c r="I552" t="s">
        <v>1344</v>
      </c>
      <c r="J552" t="s">
        <v>1509</v>
      </c>
      <c r="K552">
        <v>345</v>
      </c>
      <c r="L552">
        <v>2006</v>
      </c>
      <c r="M552">
        <v>1812</v>
      </c>
      <c r="O552" t="s">
        <v>1653</v>
      </c>
      <c r="P552" t="s">
        <v>1711</v>
      </c>
      <c r="T552">
        <v>0</v>
      </c>
      <c r="W552">
        <v>0</v>
      </c>
    </row>
    <row r="553" spans="1:23" x14ac:dyDescent="0.2">
      <c r="A553" s="1">
        <v>551</v>
      </c>
      <c r="B553">
        <v>37542581</v>
      </c>
      <c r="C553" t="s">
        <v>577</v>
      </c>
      <c r="D553" t="s">
        <v>1100</v>
      </c>
      <c r="E553" t="str">
        <f>"0771060335"</f>
        <v>0771060335</v>
      </c>
      <c r="F553" t="str">
        <f>"9780771060335"</f>
        <v>9780771060335</v>
      </c>
      <c r="G553">
        <v>0</v>
      </c>
      <c r="H553">
        <v>4.47</v>
      </c>
      <c r="I553" t="s">
        <v>1478</v>
      </c>
      <c r="J553" t="s">
        <v>1509</v>
      </c>
      <c r="K553">
        <v>384</v>
      </c>
      <c r="L553">
        <v>2018</v>
      </c>
      <c r="M553">
        <v>2018</v>
      </c>
      <c r="O553" t="s">
        <v>1653</v>
      </c>
      <c r="P553" t="s">
        <v>1711</v>
      </c>
      <c r="T553">
        <v>0</v>
      </c>
      <c r="W553">
        <v>0</v>
      </c>
    </row>
    <row r="554" spans="1:23" x14ac:dyDescent="0.2">
      <c r="A554" s="1">
        <v>552</v>
      </c>
      <c r="B554">
        <v>230955</v>
      </c>
      <c r="C554" t="s">
        <v>578</v>
      </c>
      <c r="D554" t="s">
        <v>1101</v>
      </c>
      <c r="E554" t="str">
        <f>"0521808677"</f>
        <v>0521808677</v>
      </c>
      <c r="F554" t="str">
        <f>"9780521808675"</f>
        <v>9780521808675</v>
      </c>
      <c r="G554">
        <v>0</v>
      </c>
      <c r="H554">
        <v>4.24</v>
      </c>
      <c r="I554" t="s">
        <v>1307</v>
      </c>
      <c r="J554" t="s">
        <v>1509</v>
      </c>
      <c r="K554">
        <v>304</v>
      </c>
      <c r="L554">
        <v>2002</v>
      </c>
      <c r="M554">
        <v>2002</v>
      </c>
      <c r="O554" t="s">
        <v>1653</v>
      </c>
      <c r="P554" t="s">
        <v>1711</v>
      </c>
      <c r="T554">
        <v>0</v>
      </c>
      <c r="W554">
        <v>0</v>
      </c>
    </row>
    <row r="555" spans="1:23" x14ac:dyDescent="0.2">
      <c r="A555" s="1">
        <v>553</v>
      </c>
      <c r="B555">
        <v>17557470</v>
      </c>
      <c r="C555" t="s">
        <v>579</v>
      </c>
      <c r="D555" t="s">
        <v>1102</v>
      </c>
      <c r="E555" t="str">
        <f>"1452112746"</f>
        <v>1452112746</v>
      </c>
      <c r="F555" t="str">
        <f>"9781452112749"</f>
        <v>9781452112749</v>
      </c>
      <c r="G555">
        <v>0</v>
      </c>
      <c r="H555">
        <v>3.99</v>
      </c>
      <c r="I555" t="s">
        <v>1479</v>
      </c>
      <c r="J555" t="s">
        <v>1509</v>
      </c>
      <c r="K555">
        <v>288</v>
      </c>
      <c r="L555">
        <v>2013</v>
      </c>
      <c r="M555">
        <v>2013</v>
      </c>
      <c r="O555" t="s">
        <v>1653</v>
      </c>
      <c r="P555" t="s">
        <v>1711</v>
      </c>
      <c r="T555">
        <v>0</v>
      </c>
      <c r="W555">
        <v>0</v>
      </c>
    </row>
    <row r="556" spans="1:23" x14ac:dyDescent="0.2">
      <c r="A556" s="1">
        <v>554</v>
      </c>
      <c r="B556">
        <v>36701550</v>
      </c>
      <c r="C556" t="s">
        <v>580</v>
      </c>
      <c r="D556" t="s">
        <v>1103</v>
      </c>
      <c r="E556" t="str">
        <f>""</f>
        <v/>
      </c>
      <c r="F556" t="str">
        <f>""</f>
        <v/>
      </c>
      <c r="G556">
        <v>0</v>
      </c>
      <c r="H556">
        <v>3.81</v>
      </c>
      <c r="I556" t="s">
        <v>1421</v>
      </c>
      <c r="J556" t="s">
        <v>1509</v>
      </c>
      <c r="K556">
        <v>288</v>
      </c>
      <c r="L556">
        <v>2019</v>
      </c>
      <c r="M556">
        <v>2019</v>
      </c>
      <c r="O556" t="s">
        <v>1653</v>
      </c>
      <c r="P556" t="s">
        <v>1711</v>
      </c>
      <c r="T556">
        <v>0</v>
      </c>
      <c r="W556">
        <v>0</v>
      </c>
    </row>
    <row r="557" spans="1:23" x14ac:dyDescent="0.2">
      <c r="A557" s="1">
        <v>555</v>
      </c>
      <c r="B557">
        <v>508371</v>
      </c>
      <c r="C557" t="s">
        <v>581</v>
      </c>
      <c r="D557" t="s">
        <v>1104</v>
      </c>
      <c r="E557" t="str">
        <f>"0700611592"</f>
        <v>0700611592</v>
      </c>
      <c r="F557" t="str">
        <f>"9780700611591"</f>
        <v>9780700611591</v>
      </c>
      <c r="G557">
        <v>0</v>
      </c>
      <c r="H557">
        <v>4.09</v>
      </c>
      <c r="I557" t="s">
        <v>1196</v>
      </c>
      <c r="J557" t="s">
        <v>1509</v>
      </c>
      <c r="K557">
        <v>301</v>
      </c>
      <c r="L557">
        <v>2002</v>
      </c>
      <c r="M557">
        <v>2002</v>
      </c>
      <c r="O557" t="s">
        <v>1653</v>
      </c>
      <c r="P557" t="s">
        <v>1711</v>
      </c>
      <c r="T557">
        <v>0</v>
      </c>
      <c r="W557">
        <v>0</v>
      </c>
    </row>
    <row r="558" spans="1:23" x14ac:dyDescent="0.2">
      <c r="A558" s="1">
        <v>556</v>
      </c>
      <c r="B558">
        <v>53326</v>
      </c>
      <c r="C558" t="s">
        <v>582</v>
      </c>
      <c r="D558" t="s">
        <v>1105</v>
      </c>
      <c r="E558" t="str">
        <f>"0671865412"</f>
        <v>0671865412</v>
      </c>
      <c r="F558" t="str">
        <f>"9780671865412"</f>
        <v>9780671865412</v>
      </c>
      <c r="G558">
        <v>0</v>
      </c>
      <c r="H558">
        <v>3.94</v>
      </c>
      <c r="I558" t="s">
        <v>1350</v>
      </c>
      <c r="J558" t="s">
        <v>1507</v>
      </c>
      <c r="K558">
        <v>608</v>
      </c>
      <c r="L558">
        <v>1993</v>
      </c>
      <c r="M558">
        <v>1992</v>
      </c>
      <c r="O558" t="s">
        <v>1653</v>
      </c>
      <c r="P558" t="s">
        <v>1711</v>
      </c>
      <c r="T558">
        <v>0</v>
      </c>
      <c r="W558">
        <v>0</v>
      </c>
    </row>
    <row r="559" spans="1:23" x14ac:dyDescent="0.2">
      <c r="A559" s="1">
        <v>557</v>
      </c>
      <c r="B559">
        <v>70561</v>
      </c>
      <c r="C559" t="s">
        <v>583</v>
      </c>
      <c r="D559" t="s">
        <v>1034</v>
      </c>
      <c r="E559" t="str">
        <f>"0060007761"</f>
        <v>0060007761</v>
      </c>
      <c r="F559" t="str">
        <f>"9780060007768"</f>
        <v>9780060007768</v>
      </c>
      <c r="G559">
        <v>0</v>
      </c>
      <c r="H559">
        <v>4.2699999999999996</v>
      </c>
      <c r="I559" t="s">
        <v>1224</v>
      </c>
      <c r="J559" t="s">
        <v>1507</v>
      </c>
      <c r="K559">
        <v>472</v>
      </c>
      <c r="L559">
        <v>2002</v>
      </c>
      <c r="M559">
        <v>1973</v>
      </c>
      <c r="O559" t="s">
        <v>1653</v>
      </c>
      <c r="P559" t="s">
        <v>1711</v>
      </c>
      <c r="T559">
        <v>0</v>
      </c>
      <c r="W559">
        <v>0</v>
      </c>
    </row>
    <row r="560" spans="1:23" x14ac:dyDescent="0.2">
      <c r="A560" s="1">
        <v>558</v>
      </c>
      <c r="B560">
        <v>10882</v>
      </c>
      <c r="C560" t="s">
        <v>584</v>
      </c>
      <c r="D560" t="s">
        <v>1106</v>
      </c>
      <c r="E560" t="str">
        <f>"222109073X"</f>
        <v>222109073X</v>
      </c>
      <c r="F560" t="str">
        <f>"9782221090732"</f>
        <v>9782221090732</v>
      </c>
      <c r="G560">
        <v>0</v>
      </c>
      <c r="H560">
        <v>3.97</v>
      </c>
      <c r="I560" t="s">
        <v>1480</v>
      </c>
      <c r="J560" t="s">
        <v>1507</v>
      </c>
      <c r="K560">
        <v>295</v>
      </c>
      <c r="L560">
        <v>2000</v>
      </c>
      <c r="M560">
        <v>1966</v>
      </c>
      <c r="O560" t="s">
        <v>1653</v>
      </c>
      <c r="P560" t="s">
        <v>1711</v>
      </c>
      <c r="T560">
        <v>0</v>
      </c>
      <c r="W560">
        <v>0</v>
      </c>
    </row>
    <row r="561" spans="1:23" x14ac:dyDescent="0.2">
      <c r="A561" s="1">
        <v>559</v>
      </c>
      <c r="B561">
        <v>7745</v>
      </c>
      <c r="C561" t="s">
        <v>585</v>
      </c>
      <c r="D561" t="s">
        <v>1106</v>
      </c>
      <c r="E561" t="str">
        <f>"0679785892"</f>
        <v>0679785892</v>
      </c>
      <c r="F561" t="str">
        <f>"9780679785897"</f>
        <v>9780679785897</v>
      </c>
      <c r="G561">
        <v>0</v>
      </c>
      <c r="H561">
        <v>4.08</v>
      </c>
      <c r="I561" t="s">
        <v>1253</v>
      </c>
      <c r="J561" t="s">
        <v>1507</v>
      </c>
      <c r="K561">
        <v>204</v>
      </c>
      <c r="L561">
        <v>1998</v>
      </c>
      <c r="M561">
        <v>1971</v>
      </c>
      <c r="O561" t="s">
        <v>1653</v>
      </c>
      <c r="P561" t="s">
        <v>1711</v>
      </c>
      <c r="T561">
        <v>0</v>
      </c>
      <c r="W561">
        <v>0</v>
      </c>
    </row>
    <row r="562" spans="1:23" x14ac:dyDescent="0.2">
      <c r="A562" s="1">
        <v>560</v>
      </c>
      <c r="B562">
        <v>30687200</v>
      </c>
      <c r="C562" t="s">
        <v>586</v>
      </c>
      <c r="D562" t="s">
        <v>1107</v>
      </c>
      <c r="E562" t="str">
        <f>"1101924926"</f>
        <v>1101924926</v>
      </c>
      <c r="F562" t="str">
        <f>"9781101924921"</f>
        <v>9781101924921</v>
      </c>
      <c r="G562">
        <v>0</v>
      </c>
      <c r="H562">
        <v>3.87</v>
      </c>
      <c r="I562" t="s">
        <v>1252</v>
      </c>
      <c r="J562" t="s">
        <v>1512</v>
      </c>
      <c r="K562">
        <v>224</v>
      </c>
      <c r="L562">
        <v>2017</v>
      </c>
      <c r="M562">
        <v>2017</v>
      </c>
      <c r="O562" t="s">
        <v>1653</v>
      </c>
      <c r="P562" t="s">
        <v>1711</v>
      </c>
      <c r="T562">
        <v>0</v>
      </c>
      <c r="W562">
        <v>0</v>
      </c>
    </row>
    <row r="563" spans="1:23" x14ac:dyDescent="0.2">
      <c r="A563" s="1">
        <v>561</v>
      </c>
      <c r="B563">
        <v>36950898</v>
      </c>
      <c r="C563" t="s">
        <v>587</v>
      </c>
      <c r="D563" t="s">
        <v>1108</v>
      </c>
      <c r="E563" t="str">
        <f>"0735221316"</f>
        <v>0735221316</v>
      </c>
      <c r="F563" t="str">
        <f>"9780735221314"</f>
        <v>9780735221314</v>
      </c>
      <c r="G563">
        <v>0</v>
      </c>
      <c r="H563">
        <v>3.87</v>
      </c>
      <c r="I563" t="s">
        <v>1291</v>
      </c>
      <c r="J563" t="s">
        <v>1509</v>
      </c>
      <c r="K563">
        <v>338</v>
      </c>
      <c r="L563">
        <v>2018</v>
      </c>
      <c r="M563">
        <v>2018</v>
      </c>
      <c r="O563" t="s">
        <v>1653</v>
      </c>
      <c r="P563" t="s">
        <v>1711</v>
      </c>
      <c r="T563">
        <v>0</v>
      </c>
      <c r="W563">
        <v>0</v>
      </c>
    </row>
    <row r="564" spans="1:23" x14ac:dyDescent="0.2">
      <c r="A564" s="1">
        <v>562</v>
      </c>
      <c r="B564">
        <v>646563</v>
      </c>
      <c r="C564" t="s">
        <v>588</v>
      </c>
      <c r="D564" t="s">
        <v>1109</v>
      </c>
      <c r="E564" t="str">
        <f>"1400065836"</f>
        <v>1400065836</v>
      </c>
      <c r="F564" t="str">
        <f>"9781400065837"</f>
        <v>9781400065837</v>
      </c>
      <c r="G564">
        <v>0</v>
      </c>
      <c r="H564">
        <v>3.9</v>
      </c>
      <c r="I564" t="s">
        <v>1191</v>
      </c>
      <c r="J564" t="s">
        <v>1509</v>
      </c>
      <c r="K564">
        <v>343</v>
      </c>
      <c r="L564">
        <v>2007</v>
      </c>
      <c r="M564">
        <v>2007</v>
      </c>
      <c r="O564" t="s">
        <v>1653</v>
      </c>
      <c r="P564" t="s">
        <v>1711</v>
      </c>
      <c r="T564">
        <v>0</v>
      </c>
      <c r="W564">
        <v>0</v>
      </c>
    </row>
    <row r="565" spans="1:23" x14ac:dyDescent="0.2">
      <c r="A565" s="1">
        <v>563</v>
      </c>
      <c r="B565">
        <v>555926</v>
      </c>
      <c r="C565" t="s">
        <v>589</v>
      </c>
      <c r="D565" t="s">
        <v>1110</v>
      </c>
      <c r="E565" t="str">
        <f>"0141007230"</f>
        <v>0141007230</v>
      </c>
      <c r="F565" t="str">
        <f>"9780141007236"</f>
        <v>9780141007236</v>
      </c>
      <c r="G565">
        <v>0</v>
      </c>
      <c r="H565">
        <v>4.01</v>
      </c>
      <c r="I565" t="s">
        <v>1174</v>
      </c>
      <c r="J565" t="s">
        <v>1507</v>
      </c>
      <c r="K565">
        <v>1232</v>
      </c>
      <c r="L565">
        <v>2004</v>
      </c>
      <c r="M565">
        <v>1976</v>
      </c>
      <c r="O565" t="s">
        <v>1653</v>
      </c>
      <c r="P565" t="s">
        <v>1711</v>
      </c>
      <c r="T565">
        <v>0</v>
      </c>
      <c r="W565">
        <v>0</v>
      </c>
    </row>
    <row r="566" spans="1:23" x14ac:dyDescent="0.2">
      <c r="A566" s="1">
        <v>564</v>
      </c>
      <c r="B566">
        <v>442239</v>
      </c>
      <c r="C566" t="s">
        <v>590</v>
      </c>
      <c r="D566" t="s">
        <v>1111</v>
      </c>
      <c r="E566" t="str">
        <f>"0151013020"</f>
        <v>0151013020</v>
      </c>
      <c r="F566" t="str">
        <f>"9780151013029"</f>
        <v>9780151013029</v>
      </c>
      <c r="G566">
        <v>0</v>
      </c>
      <c r="H566">
        <v>3.87</v>
      </c>
      <c r="I566" t="s">
        <v>1232</v>
      </c>
      <c r="J566" t="s">
        <v>1509</v>
      </c>
      <c r="K566">
        <v>400</v>
      </c>
      <c r="L566">
        <v>2007</v>
      </c>
      <c r="M566">
        <v>2007</v>
      </c>
      <c r="O566" t="s">
        <v>1653</v>
      </c>
      <c r="P566" t="s">
        <v>1711</v>
      </c>
      <c r="T566">
        <v>0</v>
      </c>
      <c r="W566">
        <v>0</v>
      </c>
    </row>
    <row r="567" spans="1:23" x14ac:dyDescent="0.2">
      <c r="A567" s="1">
        <v>565</v>
      </c>
      <c r="B567">
        <v>37792559</v>
      </c>
      <c r="C567" t="s">
        <v>591</v>
      </c>
      <c r="D567" t="s">
        <v>1112</v>
      </c>
      <c r="E567" t="str">
        <f>"1784382701"</f>
        <v>1784382701</v>
      </c>
      <c r="F567" t="str">
        <f>"9781784382704"</f>
        <v>9781784382704</v>
      </c>
      <c r="G567">
        <v>0</v>
      </c>
      <c r="H567">
        <v>4.17</v>
      </c>
      <c r="I567" t="s">
        <v>1481</v>
      </c>
      <c r="J567" t="s">
        <v>1509</v>
      </c>
      <c r="K567">
        <v>252</v>
      </c>
      <c r="L567">
        <v>2018</v>
      </c>
      <c r="M567">
        <v>2018</v>
      </c>
      <c r="O567" t="s">
        <v>1653</v>
      </c>
      <c r="P567" t="s">
        <v>1711</v>
      </c>
      <c r="T567">
        <v>0</v>
      </c>
      <c r="W567">
        <v>0</v>
      </c>
    </row>
    <row r="568" spans="1:23" x14ac:dyDescent="0.2">
      <c r="A568" s="1">
        <v>566</v>
      </c>
      <c r="B568">
        <v>7305882</v>
      </c>
      <c r="C568" t="s">
        <v>592</v>
      </c>
      <c r="D568" t="s">
        <v>1113</v>
      </c>
      <c r="E568" t="str">
        <f>"0521197341"</f>
        <v>0521197341</v>
      </c>
      <c r="F568" t="str">
        <f>"9780521197342"</f>
        <v>9780521197342</v>
      </c>
      <c r="G568">
        <v>0</v>
      </c>
      <c r="H568">
        <v>3.26</v>
      </c>
      <c r="I568" t="s">
        <v>1307</v>
      </c>
      <c r="J568" t="s">
        <v>1509</v>
      </c>
      <c r="K568">
        <v>320</v>
      </c>
      <c r="L568">
        <v>2010</v>
      </c>
      <c r="M568">
        <v>2010</v>
      </c>
      <c r="O568" t="s">
        <v>1653</v>
      </c>
      <c r="P568" t="s">
        <v>1711</v>
      </c>
      <c r="T568">
        <v>0</v>
      </c>
      <c r="W568">
        <v>0</v>
      </c>
    </row>
    <row r="569" spans="1:23" x14ac:dyDescent="0.2">
      <c r="A569" s="1">
        <v>567</v>
      </c>
      <c r="B569">
        <v>682681</v>
      </c>
      <c r="C569" t="s">
        <v>593</v>
      </c>
      <c r="D569" t="s">
        <v>967</v>
      </c>
      <c r="E569" t="str">
        <f>"0192835505"</f>
        <v>0192835505</v>
      </c>
      <c r="F569" t="str">
        <f>"9780192835505"</f>
        <v>9780192835505</v>
      </c>
      <c r="G569">
        <v>0</v>
      </c>
      <c r="H569">
        <v>3.58</v>
      </c>
      <c r="I569" t="s">
        <v>1361</v>
      </c>
      <c r="J569" t="s">
        <v>1507</v>
      </c>
      <c r="K569">
        <v>317</v>
      </c>
      <c r="L569">
        <v>1998</v>
      </c>
      <c r="M569">
        <v>1886</v>
      </c>
      <c r="O569" t="s">
        <v>1653</v>
      </c>
      <c r="P569" t="s">
        <v>1711</v>
      </c>
      <c r="T569">
        <v>0</v>
      </c>
      <c r="W569">
        <v>0</v>
      </c>
    </row>
    <row r="570" spans="1:23" x14ac:dyDescent="0.2">
      <c r="A570" s="1">
        <v>568</v>
      </c>
      <c r="B570">
        <v>1307748</v>
      </c>
      <c r="C570" t="s">
        <v>594</v>
      </c>
      <c r="D570" t="s">
        <v>1114</v>
      </c>
      <c r="E570" t="str">
        <f>"0964332817"</f>
        <v>0964332817</v>
      </c>
      <c r="F570" t="str">
        <f>"9780964332812"</f>
        <v>9780964332812</v>
      </c>
      <c r="G570">
        <v>0</v>
      </c>
      <c r="H570">
        <v>4.12</v>
      </c>
      <c r="I570" t="s">
        <v>1482</v>
      </c>
      <c r="J570" t="s">
        <v>1509</v>
      </c>
      <c r="K570">
        <v>166</v>
      </c>
      <c r="L570">
        <v>1995</v>
      </c>
      <c r="M570">
        <v>1995</v>
      </c>
      <c r="O570" t="s">
        <v>1628</v>
      </c>
      <c r="P570" t="s">
        <v>1711</v>
      </c>
      <c r="T570">
        <v>0</v>
      </c>
      <c r="W570">
        <v>0</v>
      </c>
    </row>
    <row r="571" spans="1:23" x14ac:dyDescent="0.2">
      <c r="A571" s="1">
        <v>569</v>
      </c>
      <c r="B571">
        <v>43117392</v>
      </c>
      <c r="C571" t="s">
        <v>595</v>
      </c>
      <c r="D571" t="s">
        <v>1115</v>
      </c>
      <c r="E571" t="str">
        <f>""</f>
        <v/>
      </c>
      <c r="F571" t="str">
        <f>""</f>
        <v/>
      </c>
      <c r="G571">
        <v>0</v>
      </c>
      <c r="H571">
        <v>0</v>
      </c>
      <c r="I571" t="s">
        <v>1243</v>
      </c>
      <c r="J571" t="s">
        <v>1511</v>
      </c>
      <c r="K571">
        <v>288</v>
      </c>
      <c r="L571">
        <v>2019</v>
      </c>
      <c r="O571" t="s">
        <v>1628</v>
      </c>
      <c r="P571" t="s">
        <v>1711</v>
      </c>
      <c r="T571">
        <v>0</v>
      </c>
      <c r="W571">
        <v>0</v>
      </c>
    </row>
    <row r="572" spans="1:23" x14ac:dyDescent="0.2">
      <c r="A572" s="1">
        <v>570</v>
      </c>
      <c r="B572">
        <v>251213</v>
      </c>
      <c r="C572" t="s">
        <v>596</v>
      </c>
      <c r="D572" t="s">
        <v>1116</v>
      </c>
      <c r="E572" t="str">
        <f>"0691070512"</f>
        <v>0691070512</v>
      </c>
      <c r="F572" t="str">
        <f>"9780691070513"</f>
        <v>9780691070513</v>
      </c>
      <c r="G572">
        <v>0</v>
      </c>
      <c r="H572">
        <v>3.97</v>
      </c>
      <c r="I572" t="s">
        <v>1324</v>
      </c>
      <c r="J572" t="s">
        <v>1507</v>
      </c>
      <c r="K572">
        <v>392</v>
      </c>
      <c r="L572">
        <v>2000</v>
      </c>
      <c r="M572">
        <v>1999</v>
      </c>
      <c r="O572" t="s">
        <v>1628</v>
      </c>
      <c r="P572" t="s">
        <v>1711</v>
      </c>
      <c r="T572">
        <v>0</v>
      </c>
      <c r="W572">
        <v>0</v>
      </c>
    </row>
    <row r="573" spans="1:23" x14ac:dyDescent="0.2">
      <c r="A573" s="1">
        <v>571</v>
      </c>
      <c r="B573">
        <v>230553</v>
      </c>
      <c r="C573" t="s">
        <v>597</v>
      </c>
      <c r="D573" t="s">
        <v>1117</v>
      </c>
      <c r="E573" t="str">
        <f>"184212451X"</f>
        <v>184212451X</v>
      </c>
      <c r="F573" t="str">
        <f>"9781842124512"</f>
        <v>9781842124512</v>
      </c>
      <c r="G573">
        <v>0</v>
      </c>
      <c r="H573">
        <v>3.74</v>
      </c>
      <c r="I573" t="s">
        <v>1483</v>
      </c>
      <c r="J573" t="s">
        <v>1509</v>
      </c>
      <c r="K573">
        <v>166</v>
      </c>
      <c r="L573">
        <v>2003</v>
      </c>
      <c r="M573">
        <v>1967</v>
      </c>
      <c r="O573" t="s">
        <v>1628</v>
      </c>
      <c r="P573" t="s">
        <v>1711</v>
      </c>
      <c r="T573">
        <v>0</v>
      </c>
      <c r="W573">
        <v>0</v>
      </c>
    </row>
    <row r="574" spans="1:23" x14ac:dyDescent="0.2">
      <c r="A574" s="1">
        <v>572</v>
      </c>
      <c r="B574">
        <v>33598223</v>
      </c>
      <c r="C574" t="s">
        <v>598</v>
      </c>
      <c r="D574" t="s">
        <v>1118</v>
      </c>
      <c r="E574" t="str">
        <f>"1400069718"</f>
        <v>1400069718</v>
      </c>
      <c r="F574" t="str">
        <f>"9781400069712"</f>
        <v>9781400069712</v>
      </c>
      <c r="G574">
        <v>0</v>
      </c>
      <c r="H574">
        <v>4.4000000000000004</v>
      </c>
      <c r="I574" t="s">
        <v>1191</v>
      </c>
      <c r="J574" t="s">
        <v>1509</v>
      </c>
      <c r="K574">
        <v>784</v>
      </c>
      <c r="L574">
        <v>2018</v>
      </c>
      <c r="M574">
        <v>2018</v>
      </c>
      <c r="O574" t="s">
        <v>1628</v>
      </c>
      <c r="P574" t="s">
        <v>1711</v>
      </c>
      <c r="T574">
        <v>0</v>
      </c>
      <c r="W574">
        <v>0</v>
      </c>
    </row>
    <row r="575" spans="1:23" x14ac:dyDescent="0.2">
      <c r="A575" s="1">
        <v>573</v>
      </c>
      <c r="B575">
        <v>4591</v>
      </c>
      <c r="C575" t="s">
        <v>599</v>
      </c>
      <c r="D575" t="s">
        <v>1119</v>
      </c>
      <c r="E575" t="str">
        <f>"0060894083"</f>
        <v>0060894083</v>
      </c>
      <c r="F575" t="str">
        <f>"9780060894085"</f>
        <v>9780060894085</v>
      </c>
      <c r="G575">
        <v>0</v>
      </c>
      <c r="H575">
        <v>4.04</v>
      </c>
      <c r="I575" t="s">
        <v>1211</v>
      </c>
      <c r="J575" t="s">
        <v>1507</v>
      </c>
      <c r="K575">
        <v>344</v>
      </c>
      <c r="L575">
        <v>2006</v>
      </c>
      <c r="M575">
        <v>1999</v>
      </c>
      <c r="O575" t="s">
        <v>1628</v>
      </c>
      <c r="P575" t="s">
        <v>1711</v>
      </c>
      <c r="T575">
        <v>0</v>
      </c>
      <c r="W575">
        <v>0</v>
      </c>
    </row>
    <row r="576" spans="1:23" x14ac:dyDescent="0.2">
      <c r="A576" s="1">
        <v>574</v>
      </c>
      <c r="B576">
        <v>3162916</v>
      </c>
      <c r="C576" t="s">
        <v>600</v>
      </c>
      <c r="D576" t="s">
        <v>1120</v>
      </c>
      <c r="E576" t="str">
        <f>"3764334622"</f>
        <v>3764334622</v>
      </c>
      <c r="F576" t="str">
        <f>"9783764334628"</f>
        <v>9783764334628</v>
      </c>
      <c r="G576">
        <v>0</v>
      </c>
      <c r="H576">
        <v>2.93</v>
      </c>
      <c r="M576">
        <v>1990</v>
      </c>
      <c r="O576" t="s">
        <v>1628</v>
      </c>
      <c r="P576" t="s">
        <v>1711</v>
      </c>
      <c r="T576">
        <v>0</v>
      </c>
      <c r="W576">
        <v>0</v>
      </c>
    </row>
    <row r="577" spans="1:23" x14ac:dyDescent="0.2">
      <c r="A577" s="1">
        <v>575</v>
      </c>
      <c r="B577">
        <v>334749</v>
      </c>
      <c r="C577" t="s">
        <v>601</v>
      </c>
      <c r="D577" t="s">
        <v>1121</v>
      </c>
      <c r="E577" t="str">
        <f>"0393704637"</f>
        <v>0393704637</v>
      </c>
      <c r="F577" t="str">
        <f>"9780393704631"</f>
        <v>9780393704631</v>
      </c>
      <c r="G577">
        <v>0</v>
      </c>
      <c r="H577">
        <v>4</v>
      </c>
      <c r="I577" t="s">
        <v>1177</v>
      </c>
      <c r="J577" t="s">
        <v>1509</v>
      </c>
      <c r="K577">
        <v>312</v>
      </c>
      <c r="L577">
        <v>2007</v>
      </c>
      <c r="M577">
        <v>2006</v>
      </c>
      <c r="O577" t="s">
        <v>1628</v>
      </c>
      <c r="P577" t="s">
        <v>1711</v>
      </c>
      <c r="T577">
        <v>0</v>
      </c>
      <c r="W577">
        <v>0</v>
      </c>
    </row>
    <row r="578" spans="1:23" x14ac:dyDescent="0.2">
      <c r="A578" s="1">
        <v>576</v>
      </c>
      <c r="B578">
        <v>7733</v>
      </c>
      <c r="C578" t="s">
        <v>602</v>
      </c>
      <c r="D578" t="s">
        <v>1122</v>
      </c>
      <c r="E578" t="str">
        <f>"0141439491"</f>
        <v>0141439491</v>
      </c>
      <c r="F578" t="str">
        <f>"9780141439495"</f>
        <v>9780141439495</v>
      </c>
      <c r="G578">
        <v>0</v>
      </c>
      <c r="H578">
        <v>3.57</v>
      </c>
      <c r="I578" t="s">
        <v>1210</v>
      </c>
      <c r="J578" t="s">
        <v>1507</v>
      </c>
      <c r="K578">
        <v>306</v>
      </c>
      <c r="L578">
        <v>2003</v>
      </c>
      <c r="M578">
        <v>1726</v>
      </c>
      <c r="O578" t="s">
        <v>1628</v>
      </c>
      <c r="P578" t="s">
        <v>1711</v>
      </c>
      <c r="T578">
        <v>0</v>
      </c>
      <c r="W578">
        <v>0</v>
      </c>
    </row>
    <row r="579" spans="1:23" x14ac:dyDescent="0.2">
      <c r="A579" s="1">
        <v>577</v>
      </c>
      <c r="B579">
        <v>606346</v>
      </c>
      <c r="C579" t="s">
        <v>603</v>
      </c>
      <c r="D579" t="s">
        <v>1123</v>
      </c>
      <c r="E579" t="str">
        <f>"0520207173"</f>
        <v>0520207173</v>
      </c>
      <c r="F579" t="str">
        <f>"9780520207172"</f>
        <v>9780520207172</v>
      </c>
      <c r="G579">
        <v>0</v>
      </c>
      <c r="H579">
        <v>3.16</v>
      </c>
      <c r="I579" t="s">
        <v>1337</v>
      </c>
      <c r="J579" t="s">
        <v>1507</v>
      </c>
      <c r="K579">
        <v>214</v>
      </c>
      <c r="L579">
        <v>1997</v>
      </c>
      <c r="M579">
        <v>1997</v>
      </c>
      <c r="O579" t="s">
        <v>1628</v>
      </c>
      <c r="P579" t="s">
        <v>1711</v>
      </c>
      <c r="T579">
        <v>0</v>
      </c>
      <c r="W579">
        <v>0</v>
      </c>
    </row>
    <row r="580" spans="1:23" x14ac:dyDescent="0.2">
      <c r="A580" s="1">
        <v>578</v>
      </c>
      <c r="B580">
        <v>1044795</v>
      </c>
      <c r="C580" t="s">
        <v>604</v>
      </c>
      <c r="D580" t="s">
        <v>1124</v>
      </c>
      <c r="E580" t="str">
        <f>"0815701535"</f>
        <v>0815701535</v>
      </c>
      <c r="F580" t="str">
        <f>"9780815701538"</f>
        <v>9780815701538</v>
      </c>
      <c r="G580">
        <v>0</v>
      </c>
      <c r="H580">
        <v>4</v>
      </c>
      <c r="I580" t="s">
        <v>1484</v>
      </c>
      <c r="J580" t="s">
        <v>1507</v>
      </c>
      <c r="L580">
        <v>1998</v>
      </c>
      <c r="M580">
        <v>1998</v>
      </c>
      <c r="O580" t="s">
        <v>1628</v>
      </c>
      <c r="P580" t="s">
        <v>1711</v>
      </c>
      <c r="T580">
        <v>0</v>
      </c>
      <c r="W580">
        <v>0</v>
      </c>
    </row>
    <row r="581" spans="1:23" x14ac:dyDescent="0.2">
      <c r="A581" s="1">
        <v>579</v>
      </c>
      <c r="B581">
        <v>4822090</v>
      </c>
      <c r="C581" t="s">
        <v>605</v>
      </c>
      <c r="D581" t="s">
        <v>1125</v>
      </c>
      <c r="E581" t="str">
        <f>"0850651646"</f>
        <v>0850651646</v>
      </c>
      <c r="F581" t="str">
        <f>"9780850651645"</f>
        <v>9780850651645</v>
      </c>
      <c r="G581">
        <v>0</v>
      </c>
      <c r="H581">
        <v>4.37</v>
      </c>
      <c r="M581">
        <v>1949</v>
      </c>
      <c r="O581" t="s">
        <v>1628</v>
      </c>
      <c r="P581" t="s">
        <v>1711</v>
      </c>
      <c r="T581">
        <v>0</v>
      </c>
      <c r="W581">
        <v>0</v>
      </c>
    </row>
    <row r="582" spans="1:23" x14ac:dyDescent="0.2">
      <c r="A582" s="1">
        <v>580</v>
      </c>
      <c r="B582">
        <v>257845</v>
      </c>
      <c r="C582" t="s">
        <v>606</v>
      </c>
      <c r="D582" t="s">
        <v>1126</v>
      </c>
      <c r="E582" t="str">
        <f>"1585673692"</f>
        <v>1585673692</v>
      </c>
      <c r="F582" t="str">
        <f>"9781585673698"</f>
        <v>9781585673698</v>
      </c>
      <c r="G582">
        <v>0</v>
      </c>
      <c r="H582">
        <v>4.12</v>
      </c>
      <c r="I582" t="s">
        <v>1376</v>
      </c>
      <c r="J582" t="s">
        <v>1507</v>
      </c>
      <c r="K582">
        <v>224</v>
      </c>
      <c r="L582">
        <v>2002</v>
      </c>
      <c r="M582">
        <v>1968</v>
      </c>
      <c r="O582" t="s">
        <v>1628</v>
      </c>
      <c r="P582" t="s">
        <v>1711</v>
      </c>
      <c r="T582">
        <v>0</v>
      </c>
      <c r="W582">
        <v>0</v>
      </c>
    </row>
    <row r="583" spans="1:23" x14ac:dyDescent="0.2">
      <c r="A583" s="1">
        <v>581</v>
      </c>
      <c r="B583">
        <v>22174460</v>
      </c>
      <c r="C583" t="s">
        <v>607</v>
      </c>
      <c r="D583" t="s">
        <v>1127</v>
      </c>
      <c r="E583" t="str">
        <f>"1250065631"</f>
        <v>1250065631</v>
      </c>
      <c r="F583" t="str">
        <f>"9781250065636"</f>
        <v>9781250065636</v>
      </c>
      <c r="G583">
        <v>0</v>
      </c>
      <c r="H583">
        <v>3.86</v>
      </c>
      <c r="I583" t="s">
        <v>1189</v>
      </c>
      <c r="J583" t="s">
        <v>1509</v>
      </c>
      <c r="K583">
        <v>368</v>
      </c>
      <c r="L583">
        <v>2015</v>
      </c>
      <c r="M583">
        <v>2015</v>
      </c>
      <c r="O583" t="s">
        <v>1628</v>
      </c>
      <c r="P583" t="s">
        <v>1711</v>
      </c>
      <c r="T583">
        <v>0</v>
      </c>
      <c r="W583">
        <v>0</v>
      </c>
    </row>
    <row r="584" spans="1:23" x14ac:dyDescent="0.2">
      <c r="A584" s="1">
        <v>582</v>
      </c>
      <c r="B584">
        <v>18757597</v>
      </c>
      <c r="C584" t="s">
        <v>608</v>
      </c>
      <c r="D584" t="s">
        <v>1128</v>
      </c>
      <c r="E584" t="str">
        <f>""</f>
        <v/>
      </c>
      <c r="F584" t="str">
        <f>""</f>
        <v/>
      </c>
      <c r="G584">
        <v>0</v>
      </c>
      <c r="H584">
        <v>3.96</v>
      </c>
      <c r="I584" t="s">
        <v>1485</v>
      </c>
      <c r="J584" t="s">
        <v>1509</v>
      </c>
      <c r="K584">
        <v>416</v>
      </c>
      <c r="L584">
        <v>2013</v>
      </c>
      <c r="M584">
        <v>2013</v>
      </c>
      <c r="O584" t="s">
        <v>1628</v>
      </c>
      <c r="P584" t="s">
        <v>1711</v>
      </c>
      <c r="T584">
        <v>0</v>
      </c>
      <c r="W584">
        <v>0</v>
      </c>
    </row>
    <row r="585" spans="1:23" x14ac:dyDescent="0.2">
      <c r="A585" s="1">
        <v>583</v>
      </c>
      <c r="B585">
        <v>507952</v>
      </c>
      <c r="C585" t="s">
        <v>609</v>
      </c>
      <c r="D585" t="s">
        <v>1129</v>
      </c>
      <c r="E585" t="str">
        <f>"0375758844"</f>
        <v>0375758844</v>
      </c>
      <c r="F585" t="str">
        <f>"9780375758843"</f>
        <v>9780375758843</v>
      </c>
      <c r="G585">
        <v>0</v>
      </c>
      <c r="H585">
        <v>4.04</v>
      </c>
      <c r="I585" t="s">
        <v>1221</v>
      </c>
      <c r="J585" t="s">
        <v>1507</v>
      </c>
      <c r="K585">
        <v>464</v>
      </c>
      <c r="L585">
        <v>2004</v>
      </c>
      <c r="M585">
        <v>2003</v>
      </c>
      <c r="O585" t="s">
        <v>1628</v>
      </c>
      <c r="P585" t="s">
        <v>1711</v>
      </c>
      <c r="T585">
        <v>0</v>
      </c>
      <c r="W585">
        <v>0</v>
      </c>
    </row>
    <row r="586" spans="1:23" x14ac:dyDescent="0.2">
      <c r="A586" s="1">
        <v>584</v>
      </c>
      <c r="B586">
        <v>224379</v>
      </c>
      <c r="C586" t="s">
        <v>610</v>
      </c>
      <c r="D586" t="s">
        <v>1130</v>
      </c>
      <c r="E586" t="str">
        <f>"0767900561"</f>
        <v>0767900561</v>
      </c>
      <c r="F586" t="str">
        <f>"9780767900560"</f>
        <v>9780767900560</v>
      </c>
      <c r="G586">
        <v>0</v>
      </c>
      <c r="H586">
        <v>4.2300000000000004</v>
      </c>
      <c r="I586" t="s">
        <v>1241</v>
      </c>
      <c r="J586" t="s">
        <v>1509</v>
      </c>
      <c r="K586">
        <v>610</v>
      </c>
      <c r="L586">
        <v>2003</v>
      </c>
      <c r="M586">
        <v>2003</v>
      </c>
      <c r="O586" t="s">
        <v>1628</v>
      </c>
      <c r="P586" t="s">
        <v>1711</v>
      </c>
      <c r="T586">
        <v>0</v>
      </c>
      <c r="W586">
        <v>0</v>
      </c>
    </row>
    <row r="587" spans="1:23" x14ac:dyDescent="0.2">
      <c r="A587" s="1">
        <v>585</v>
      </c>
      <c r="B587">
        <v>355697</v>
      </c>
      <c r="C587" t="s">
        <v>611</v>
      </c>
      <c r="D587" t="s">
        <v>1131</v>
      </c>
      <c r="E587" t="str">
        <f>"0449213943"</f>
        <v>0449213943</v>
      </c>
      <c r="F587" t="str">
        <f>"9780449213940"</f>
        <v>9780449213940</v>
      </c>
      <c r="G587">
        <v>0</v>
      </c>
      <c r="H587">
        <v>3.99</v>
      </c>
      <c r="I587" t="s">
        <v>1371</v>
      </c>
      <c r="J587" t="s">
        <v>1510</v>
      </c>
      <c r="K587">
        <v>296</v>
      </c>
      <c r="L587">
        <v>1987</v>
      </c>
      <c r="M587">
        <v>1929</v>
      </c>
      <c r="O587" t="s">
        <v>1628</v>
      </c>
      <c r="P587" t="s">
        <v>1711</v>
      </c>
      <c r="T587">
        <v>0</v>
      </c>
      <c r="W587">
        <v>0</v>
      </c>
    </row>
    <row r="588" spans="1:23" x14ac:dyDescent="0.2">
      <c r="A588" s="1">
        <v>586</v>
      </c>
      <c r="B588">
        <v>64895</v>
      </c>
      <c r="C588" t="s">
        <v>612</v>
      </c>
      <c r="D588" t="s">
        <v>1132</v>
      </c>
      <c r="E588" t="str">
        <f>"0099268701"</f>
        <v>0099268701</v>
      </c>
      <c r="F588" t="str">
        <f>"9780099268703"</f>
        <v>9780099268703</v>
      </c>
      <c r="G588">
        <v>0</v>
      </c>
      <c r="H588">
        <v>3.92</v>
      </c>
      <c r="I588" t="s">
        <v>1486</v>
      </c>
      <c r="J588" t="s">
        <v>1507</v>
      </c>
      <c r="K588">
        <v>294</v>
      </c>
      <c r="L588">
        <v>1999</v>
      </c>
      <c r="M588">
        <v>1997</v>
      </c>
      <c r="O588" t="s">
        <v>1628</v>
      </c>
      <c r="P588" t="s">
        <v>1711</v>
      </c>
      <c r="T588">
        <v>0</v>
      </c>
      <c r="W588">
        <v>0</v>
      </c>
    </row>
    <row r="589" spans="1:23" x14ac:dyDescent="0.2">
      <c r="A589" s="1">
        <v>587</v>
      </c>
      <c r="B589">
        <v>2715</v>
      </c>
      <c r="C589" t="s">
        <v>613</v>
      </c>
      <c r="D589" t="s">
        <v>1132</v>
      </c>
      <c r="E589" t="str">
        <f>"0142001619"</f>
        <v>0142001619</v>
      </c>
      <c r="F589" t="str">
        <f>"9780142001615"</f>
        <v>9780142001615</v>
      </c>
      <c r="G589">
        <v>0</v>
      </c>
      <c r="H589">
        <v>3.74</v>
      </c>
      <c r="I589" t="s">
        <v>1174</v>
      </c>
      <c r="J589" t="s">
        <v>1507</v>
      </c>
      <c r="K589">
        <v>484</v>
      </c>
      <c r="L589">
        <v>2003</v>
      </c>
      <c r="M589">
        <v>2002</v>
      </c>
      <c r="O589" t="s">
        <v>1628</v>
      </c>
      <c r="P589" t="s">
        <v>1711</v>
      </c>
      <c r="T589">
        <v>0</v>
      </c>
      <c r="W589">
        <v>0</v>
      </c>
    </row>
    <row r="590" spans="1:23" x14ac:dyDescent="0.2">
      <c r="A590" s="1">
        <v>588</v>
      </c>
      <c r="B590">
        <v>152038</v>
      </c>
      <c r="C590" t="s">
        <v>614</v>
      </c>
      <c r="D590" t="s">
        <v>1133</v>
      </c>
      <c r="E590" t="str">
        <f>"1556524838"</f>
        <v>1556524838</v>
      </c>
      <c r="F590" t="str">
        <f>"9781556524837"</f>
        <v>9781556524837</v>
      </c>
      <c r="G590">
        <v>0</v>
      </c>
      <c r="H590">
        <v>4.34</v>
      </c>
      <c r="I590" t="s">
        <v>1487</v>
      </c>
      <c r="J590" t="s">
        <v>1507</v>
      </c>
      <c r="K590">
        <v>709</v>
      </c>
      <c r="L590">
        <v>2003</v>
      </c>
      <c r="M590">
        <v>1972</v>
      </c>
      <c r="O590" t="s">
        <v>1628</v>
      </c>
      <c r="P590" t="s">
        <v>1711</v>
      </c>
      <c r="T590">
        <v>0</v>
      </c>
      <c r="W590">
        <v>0</v>
      </c>
    </row>
    <row r="591" spans="1:23" x14ac:dyDescent="0.2">
      <c r="A591" s="1">
        <v>589</v>
      </c>
      <c r="B591">
        <v>5983996</v>
      </c>
      <c r="C591" t="s">
        <v>615</v>
      </c>
      <c r="D591" t="s">
        <v>1134</v>
      </c>
      <c r="E591" t="str">
        <f>"0385527241"</f>
        <v>0385527241</v>
      </c>
      <c r="F591" t="str">
        <f>"9780385527248"</f>
        <v>9780385527248</v>
      </c>
      <c r="G591">
        <v>0</v>
      </c>
      <c r="H591">
        <v>4.13</v>
      </c>
      <c r="I591" t="s">
        <v>1488</v>
      </c>
      <c r="J591" t="s">
        <v>1509</v>
      </c>
      <c r="K591">
        <v>336</v>
      </c>
      <c r="L591">
        <v>2009</v>
      </c>
      <c r="M591">
        <v>2007</v>
      </c>
      <c r="O591" t="s">
        <v>1628</v>
      </c>
      <c r="P591" t="s">
        <v>1711</v>
      </c>
      <c r="T591">
        <v>0</v>
      </c>
      <c r="W591">
        <v>0</v>
      </c>
    </row>
    <row r="592" spans="1:23" x14ac:dyDescent="0.2">
      <c r="A592" s="1">
        <v>590</v>
      </c>
      <c r="B592">
        <v>41817501</v>
      </c>
      <c r="C592" t="s">
        <v>616</v>
      </c>
      <c r="D592" t="s">
        <v>1135</v>
      </c>
      <c r="E592" t="str">
        <f>"0393357090"</f>
        <v>0393357090</v>
      </c>
      <c r="F592" t="str">
        <f>"9780393357097"</f>
        <v>9780393357097</v>
      </c>
      <c r="G592">
        <v>0</v>
      </c>
      <c r="H592">
        <v>3.63</v>
      </c>
      <c r="I592" t="s">
        <v>1177</v>
      </c>
      <c r="J592" t="s">
        <v>1507</v>
      </c>
      <c r="K592">
        <v>272</v>
      </c>
      <c r="L592">
        <v>2019</v>
      </c>
      <c r="M592">
        <v>2018</v>
      </c>
      <c r="O592" t="s">
        <v>1628</v>
      </c>
      <c r="P592" t="s">
        <v>1711</v>
      </c>
      <c r="T592">
        <v>0</v>
      </c>
      <c r="W592">
        <v>0</v>
      </c>
    </row>
    <row r="593" spans="1:23" x14ac:dyDescent="0.2">
      <c r="A593" s="1">
        <v>591</v>
      </c>
      <c r="B593">
        <v>2033025</v>
      </c>
      <c r="C593" t="s">
        <v>617</v>
      </c>
      <c r="D593" t="s">
        <v>798</v>
      </c>
      <c r="E593" t="str">
        <f>"0002712245"</f>
        <v>0002712245</v>
      </c>
      <c r="F593" t="str">
        <f>"9780002712248"</f>
        <v>9780002712248</v>
      </c>
      <c r="G593">
        <v>0</v>
      </c>
      <c r="H593">
        <v>4.05</v>
      </c>
      <c r="I593" t="s">
        <v>1489</v>
      </c>
      <c r="J593" t="s">
        <v>1507</v>
      </c>
      <c r="K593">
        <v>304</v>
      </c>
      <c r="L593">
        <v>1998</v>
      </c>
      <c r="M593">
        <v>1951</v>
      </c>
      <c r="O593" t="s">
        <v>1628</v>
      </c>
      <c r="P593" t="s">
        <v>1711</v>
      </c>
      <c r="T593">
        <v>0</v>
      </c>
      <c r="W593">
        <v>0</v>
      </c>
    </row>
    <row r="594" spans="1:23" x14ac:dyDescent="0.2">
      <c r="A594" s="1">
        <v>592</v>
      </c>
      <c r="B594">
        <v>40180025</v>
      </c>
      <c r="C594" t="s">
        <v>618</v>
      </c>
      <c r="D594" t="s">
        <v>1136</v>
      </c>
      <c r="E594" t="str">
        <f>"0393356582"</f>
        <v>0393356582</v>
      </c>
      <c r="F594" t="str">
        <f>"9780393356588"</f>
        <v>9780393356588</v>
      </c>
      <c r="G594">
        <v>0</v>
      </c>
      <c r="H594">
        <v>3.81</v>
      </c>
      <c r="I594" t="s">
        <v>1177</v>
      </c>
      <c r="J594" t="s">
        <v>1507</v>
      </c>
      <c r="K594">
        <v>448</v>
      </c>
      <c r="L594">
        <v>2019</v>
      </c>
      <c r="M594">
        <v>2018</v>
      </c>
      <c r="O594" t="s">
        <v>1628</v>
      </c>
      <c r="P594" t="s">
        <v>1711</v>
      </c>
      <c r="T594">
        <v>0</v>
      </c>
      <c r="W594">
        <v>0</v>
      </c>
    </row>
    <row r="595" spans="1:23" x14ac:dyDescent="0.2">
      <c r="A595" s="1">
        <v>593</v>
      </c>
      <c r="B595">
        <v>16884</v>
      </c>
      <c r="C595" t="s">
        <v>619</v>
      </c>
      <c r="D595" t="s">
        <v>1137</v>
      </c>
      <c r="E595" t="str">
        <f>"0684813785"</f>
        <v>0684813785</v>
      </c>
      <c r="F595" t="str">
        <f>"9780684813783"</f>
        <v>9780684813783</v>
      </c>
      <c r="G595">
        <v>0</v>
      </c>
      <c r="H595">
        <v>4.37</v>
      </c>
      <c r="I595" t="s">
        <v>1245</v>
      </c>
      <c r="J595" t="s">
        <v>1507</v>
      </c>
      <c r="K595">
        <v>886</v>
      </c>
      <c r="L595">
        <v>1995</v>
      </c>
      <c r="M595">
        <v>1986</v>
      </c>
      <c r="O595" t="s">
        <v>1628</v>
      </c>
      <c r="P595" t="s">
        <v>1711</v>
      </c>
      <c r="T595">
        <v>0</v>
      </c>
      <c r="W595">
        <v>0</v>
      </c>
    </row>
    <row r="596" spans="1:23" x14ac:dyDescent="0.2">
      <c r="A596" s="1">
        <v>594</v>
      </c>
      <c r="B596">
        <v>8155672</v>
      </c>
      <c r="C596" t="s">
        <v>620</v>
      </c>
      <c r="D596" t="s">
        <v>1138</v>
      </c>
      <c r="E596" t="str">
        <f>"0060760222"</f>
        <v>0060760222</v>
      </c>
      <c r="F596" t="str">
        <f>"9780060760229"</f>
        <v>9780060760229</v>
      </c>
      <c r="G596">
        <v>0</v>
      </c>
      <c r="H596">
        <v>4.24</v>
      </c>
      <c r="I596" t="s">
        <v>1302</v>
      </c>
      <c r="J596" t="s">
        <v>1509</v>
      </c>
      <c r="K596">
        <v>992</v>
      </c>
      <c r="L596">
        <v>2010</v>
      </c>
      <c r="M596">
        <v>2010</v>
      </c>
      <c r="O596" t="s">
        <v>1628</v>
      </c>
      <c r="P596" t="s">
        <v>1711</v>
      </c>
      <c r="T596">
        <v>0</v>
      </c>
      <c r="W596">
        <v>0</v>
      </c>
    </row>
    <row r="597" spans="1:23" x14ac:dyDescent="0.2">
      <c r="A597" s="1">
        <v>595</v>
      </c>
      <c r="B597">
        <v>42960</v>
      </c>
      <c r="C597" t="s">
        <v>621</v>
      </c>
      <c r="D597" t="s">
        <v>1139</v>
      </c>
      <c r="E597" t="str">
        <f>"0812974921"</f>
        <v>0812974921</v>
      </c>
      <c r="F597" t="str">
        <f>"9780812974928"</f>
        <v>9780812974928</v>
      </c>
      <c r="G597">
        <v>0</v>
      </c>
      <c r="H597">
        <v>3.94</v>
      </c>
      <c r="I597" t="s">
        <v>1490</v>
      </c>
      <c r="J597" t="s">
        <v>1507</v>
      </c>
      <c r="K597">
        <v>672</v>
      </c>
      <c r="L597">
        <v>2005</v>
      </c>
      <c r="M597">
        <v>1989</v>
      </c>
      <c r="O597" t="s">
        <v>1628</v>
      </c>
      <c r="P597" t="s">
        <v>1711</v>
      </c>
      <c r="T597">
        <v>0</v>
      </c>
      <c r="W597">
        <v>0</v>
      </c>
    </row>
    <row r="598" spans="1:23" x14ac:dyDescent="0.2">
      <c r="A598" s="1">
        <v>596</v>
      </c>
      <c r="B598">
        <v>10266902</v>
      </c>
      <c r="C598" t="s">
        <v>622</v>
      </c>
      <c r="D598" t="s">
        <v>899</v>
      </c>
      <c r="E598" t="str">
        <f>"046501867X"</f>
        <v>046501867X</v>
      </c>
      <c r="F598" t="str">
        <f>"9780465018673"</f>
        <v>9780465018673</v>
      </c>
      <c r="G598">
        <v>0</v>
      </c>
      <c r="H598">
        <v>3.5</v>
      </c>
      <c r="I598" t="s">
        <v>1170</v>
      </c>
      <c r="J598" t="s">
        <v>1509</v>
      </c>
      <c r="K598">
        <v>240</v>
      </c>
      <c r="L598">
        <v>2011</v>
      </c>
      <c r="M598">
        <v>2011</v>
      </c>
      <c r="O598" t="s">
        <v>1628</v>
      </c>
      <c r="P598" t="s">
        <v>1711</v>
      </c>
      <c r="T598">
        <v>0</v>
      </c>
      <c r="W598">
        <v>0</v>
      </c>
    </row>
    <row r="599" spans="1:23" x14ac:dyDescent="0.2">
      <c r="A599" s="1">
        <v>597</v>
      </c>
      <c r="B599">
        <v>698866</v>
      </c>
      <c r="C599" t="s">
        <v>623</v>
      </c>
      <c r="D599" t="s">
        <v>899</v>
      </c>
      <c r="E599" t="str">
        <f>"0691129428"</f>
        <v>0691129428</v>
      </c>
      <c r="F599" t="str">
        <f>"9780691129426"</f>
        <v>9780691129426</v>
      </c>
      <c r="G599">
        <v>0</v>
      </c>
      <c r="H599">
        <v>3.93</v>
      </c>
      <c r="I599" t="s">
        <v>1324</v>
      </c>
      <c r="J599" t="s">
        <v>1509</v>
      </c>
      <c r="K599">
        <v>276</v>
      </c>
      <c r="L599">
        <v>2007</v>
      </c>
      <c r="M599">
        <v>2007</v>
      </c>
      <c r="O599" t="s">
        <v>1628</v>
      </c>
      <c r="P599" t="s">
        <v>1711</v>
      </c>
      <c r="T599">
        <v>0</v>
      </c>
      <c r="W599">
        <v>0</v>
      </c>
    </row>
    <row r="600" spans="1:23" x14ac:dyDescent="0.2">
      <c r="A600" s="1">
        <v>598</v>
      </c>
      <c r="B600">
        <v>36319077</v>
      </c>
      <c r="C600" t="s">
        <v>624</v>
      </c>
      <c r="D600" t="s">
        <v>899</v>
      </c>
      <c r="E600" t="str">
        <f>"0691174652"</f>
        <v>0691174652</v>
      </c>
      <c r="F600" t="str">
        <f>"9780691174655"</f>
        <v>9780691174655</v>
      </c>
      <c r="G600">
        <v>0</v>
      </c>
      <c r="H600">
        <v>4.01</v>
      </c>
      <c r="I600" t="s">
        <v>1324</v>
      </c>
      <c r="J600" t="s">
        <v>1509</v>
      </c>
      <c r="K600">
        <v>416</v>
      </c>
      <c r="L600">
        <v>2018</v>
      </c>
      <c r="M600">
        <v>2018</v>
      </c>
      <c r="O600" t="s">
        <v>1628</v>
      </c>
      <c r="P600" t="s">
        <v>1711</v>
      </c>
      <c r="T600">
        <v>0</v>
      </c>
      <c r="W600">
        <v>0</v>
      </c>
    </row>
    <row r="601" spans="1:23" x14ac:dyDescent="0.2">
      <c r="A601" s="1">
        <v>599</v>
      </c>
      <c r="B601">
        <v>89158</v>
      </c>
      <c r="C601" t="s">
        <v>625</v>
      </c>
      <c r="D601" t="s">
        <v>1140</v>
      </c>
      <c r="E601" t="str">
        <f>"0691128715"</f>
        <v>0691128715</v>
      </c>
      <c r="F601" t="str">
        <f>"9780691128719"</f>
        <v>9780691128719</v>
      </c>
      <c r="G601">
        <v>0</v>
      </c>
      <c r="H601">
        <v>4.03</v>
      </c>
      <c r="I601" t="s">
        <v>1324</v>
      </c>
      <c r="J601" t="s">
        <v>1507</v>
      </c>
      <c r="K601">
        <v>321</v>
      </c>
      <c r="L601">
        <v>2006</v>
      </c>
      <c r="M601">
        <v>2005</v>
      </c>
      <c r="O601" t="s">
        <v>1628</v>
      </c>
      <c r="P601" t="s">
        <v>1711</v>
      </c>
      <c r="T601">
        <v>0</v>
      </c>
      <c r="W601">
        <v>0</v>
      </c>
    </row>
    <row r="602" spans="1:23" x14ac:dyDescent="0.2">
      <c r="A602" s="1">
        <v>600</v>
      </c>
      <c r="B602">
        <v>4929</v>
      </c>
      <c r="C602" t="s">
        <v>626</v>
      </c>
      <c r="D602" t="s">
        <v>1141</v>
      </c>
      <c r="E602" t="str">
        <f>"1400079276"</f>
        <v>1400079276</v>
      </c>
      <c r="F602" t="str">
        <f>"9781400079278"</f>
        <v>9781400079278</v>
      </c>
      <c r="G602">
        <v>0</v>
      </c>
      <c r="H602">
        <v>4.13</v>
      </c>
      <c r="I602" t="s">
        <v>1209</v>
      </c>
      <c r="J602" t="s">
        <v>1507</v>
      </c>
      <c r="K602">
        <v>467</v>
      </c>
      <c r="L602">
        <v>2006</v>
      </c>
      <c r="M602">
        <v>2002</v>
      </c>
      <c r="O602" t="s">
        <v>1628</v>
      </c>
      <c r="P602" t="s">
        <v>1711</v>
      </c>
      <c r="T602">
        <v>0</v>
      </c>
      <c r="W602">
        <v>0</v>
      </c>
    </row>
    <row r="603" spans="1:23" x14ac:dyDescent="0.2">
      <c r="A603" s="1">
        <v>601</v>
      </c>
      <c r="B603">
        <v>30141085</v>
      </c>
      <c r="C603" t="s">
        <v>627</v>
      </c>
      <c r="D603" t="s">
        <v>1142</v>
      </c>
      <c r="E603" t="str">
        <f>""</f>
        <v/>
      </c>
      <c r="F603" t="str">
        <f>""</f>
        <v/>
      </c>
      <c r="G603">
        <v>0</v>
      </c>
      <c r="H603">
        <v>4.03</v>
      </c>
      <c r="J603" t="s">
        <v>1507</v>
      </c>
      <c r="K603">
        <v>131</v>
      </c>
      <c r="M603">
        <v>1922</v>
      </c>
      <c r="O603" t="s">
        <v>1628</v>
      </c>
      <c r="P603" t="s">
        <v>1711</v>
      </c>
      <c r="T603">
        <v>0</v>
      </c>
      <c r="W603">
        <v>0</v>
      </c>
    </row>
    <row r="604" spans="1:23" x14ac:dyDescent="0.2">
      <c r="A604" s="1">
        <v>602</v>
      </c>
      <c r="B604">
        <v>1041018</v>
      </c>
      <c r="C604" t="s">
        <v>628</v>
      </c>
      <c r="D604" t="s">
        <v>1143</v>
      </c>
      <c r="E604" t="str">
        <f>"1932033467"</f>
        <v>1932033467</v>
      </c>
      <c r="F604" t="str">
        <f>"9781932033465"</f>
        <v>9781932033465</v>
      </c>
      <c r="G604">
        <v>0</v>
      </c>
      <c r="H604">
        <v>4</v>
      </c>
      <c r="I604" t="s">
        <v>1491</v>
      </c>
      <c r="J604" t="s">
        <v>1507</v>
      </c>
      <c r="K604">
        <v>256</v>
      </c>
      <c r="L604">
        <v>2005</v>
      </c>
      <c r="M604">
        <v>2003</v>
      </c>
      <c r="O604" t="s">
        <v>1628</v>
      </c>
      <c r="P604" t="s">
        <v>1711</v>
      </c>
      <c r="T604">
        <v>0</v>
      </c>
      <c r="W604">
        <v>0</v>
      </c>
    </row>
    <row r="605" spans="1:23" x14ac:dyDescent="0.2">
      <c r="A605" s="1">
        <v>603</v>
      </c>
      <c r="B605">
        <v>110890</v>
      </c>
      <c r="C605" t="s">
        <v>629</v>
      </c>
      <c r="D605" t="s">
        <v>1144</v>
      </c>
      <c r="E605" t="str">
        <f>"037541486X"</f>
        <v>037541486X</v>
      </c>
      <c r="F605" t="str">
        <f>"9780375414862"</f>
        <v>9780375414862</v>
      </c>
      <c r="G605">
        <v>0</v>
      </c>
      <c r="H605">
        <v>4.3499999999999996</v>
      </c>
      <c r="I605" t="s">
        <v>1492</v>
      </c>
      <c r="J605" t="s">
        <v>1509</v>
      </c>
      <c r="K605">
        <v>469</v>
      </c>
      <c r="L605">
        <v>2006</v>
      </c>
      <c r="M605">
        <v>2006</v>
      </c>
      <c r="O605" t="s">
        <v>1628</v>
      </c>
      <c r="P605" t="s">
        <v>1711</v>
      </c>
      <c r="T605">
        <v>0</v>
      </c>
      <c r="W605">
        <v>0</v>
      </c>
    </row>
    <row r="606" spans="1:23" x14ac:dyDescent="0.2">
      <c r="A606" s="1">
        <v>604</v>
      </c>
      <c r="B606">
        <v>2459714</v>
      </c>
      <c r="C606" t="s">
        <v>630</v>
      </c>
      <c r="D606" t="s">
        <v>1145</v>
      </c>
      <c r="E606" t="str">
        <f>"0061567582"</f>
        <v>0061567582</v>
      </c>
      <c r="F606" t="str">
        <f>"9780061567582"</f>
        <v>9780061567582</v>
      </c>
      <c r="G606">
        <v>0</v>
      </c>
      <c r="H606">
        <v>3.8</v>
      </c>
      <c r="I606" t="s">
        <v>1302</v>
      </c>
      <c r="J606" t="s">
        <v>1509</v>
      </c>
      <c r="K606">
        <v>336</v>
      </c>
      <c r="L606">
        <v>2008</v>
      </c>
      <c r="M606">
        <v>2008</v>
      </c>
      <c r="O606" t="s">
        <v>1628</v>
      </c>
      <c r="P606" t="s">
        <v>1711</v>
      </c>
      <c r="T606">
        <v>0</v>
      </c>
      <c r="W606">
        <v>0</v>
      </c>
    </row>
    <row r="607" spans="1:23" x14ac:dyDescent="0.2">
      <c r="A607" s="1">
        <v>605</v>
      </c>
      <c r="B607">
        <v>32829</v>
      </c>
      <c r="C607" t="s">
        <v>631</v>
      </c>
      <c r="D607" t="s">
        <v>787</v>
      </c>
      <c r="E607" t="str">
        <f>"0553213970"</f>
        <v>0553213970</v>
      </c>
      <c r="F607" t="str">
        <f>"9780553213973"</f>
        <v>9780553213973</v>
      </c>
      <c r="G607">
        <v>0</v>
      </c>
      <c r="H607">
        <v>3.86</v>
      </c>
      <c r="I607" t="s">
        <v>1200</v>
      </c>
      <c r="J607" t="s">
        <v>1507</v>
      </c>
      <c r="K607">
        <v>240</v>
      </c>
      <c r="L607">
        <v>2006</v>
      </c>
      <c r="M607">
        <v>1864</v>
      </c>
      <c r="O607" t="s">
        <v>1628</v>
      </c>
      <c r="P607" t="s">
        <v>1711</v>
      </c>
      <c r="T607">
        <v>0</v>
      </c>
      <c r="W607">
        <v>0</v>
      </c>
    </row>
    <row r="608" spans="1:23" x14ac:dyDescent="0.2">
      <c r="A608" s="1">
        <v>606</v>
      </c>
      <c r="B608">
        <v>248510</v>
      </c>
      <c r="C608" t="s">
        <v>632</v>
      </c>
      <c r="D608" t="s">
        <v>1146</v>
      </c>
      <c r="E608" t="str">
        <f>"0306812983"</f>
        <v>0306812983</v>
      </c>
      <c r="F608" t="str">
        <f>"9780306812989"</f>
        <v>9780306812989</v>
      </c>
      <c r="G608">
        <v>0</v>
      </c>
      <c r="H608">
        <v>4.18</v>
      </c>
      <c r="I608" t="s">
        <v>1374</v>
      </c>
      <c r="J608" t="s">
        <v>1507</v>
      </c>
      <c r="K608">
        <v>672</v>
      </c>
      <c r="L608">
        <v>2003</v>
      </c>
      <c r="M608">
        <v>1969</v>
      </c>
      <c r="O608" t="s">
        <v>1628</v>
      </c>
      <c r="P608" t="s">
        <v>1711</v>
      </c>
      <c r="T608">
        <v>0</v>
      </c>
      <c r="W608">
        <v>0</v>
      </c>
    </row>
    <row r="609" spans="1:23" x14ac:dyDescent="0.2">
      <c r="A609" s="1">
        <v>607</v>
      </c>
      <c r="B609">
        <v>514313</v>
      </c>
      <c r="C609" t="s">
        <v>633</v>
      </c>
      <c r="D609" t="s">
        <v>1147</v>
      </c>
      <c r="E609" t="str">
        <f>"0743225708"</f>
        <v>0743225708</v>
      </c>
      <c r="F609" t="str">
        <f>"9780743225700"</f>
        <v>9780743225700</v>
      </c>
      <c r="G609">
        <v>0</v>
      </c>
      <c r="H609">
        <v>3.9</v>
      </c>
      <c r="I609" t="s">
        <v>1162</v>
      </c>
      <c r="J609" t="s">
        <v>1509</v>
      </c>
      <c r="K609">
        <v>272</v>
      </c>
      <c r="L609">
        <v>2002</v>
      </c>
      <c r="M609">
        <v>2002</v>
      </c>
      <c r="O609" t="s">
        <v>1628</v>
      </c>
      <c r="P609" t="s">
        <v>1711</v>
      </c>
      <c r="T609">
        <v>0</v>
      </c>
      <c r="W609">
        <v>0</v>
      </c>
    </row>
    <row r="610" spans="1:23" x14ac:dyDescent="0.2">
      <c r="A610" s="1">
        <v>608</v>
      </c>
      <c r="B610">
        <v>34066798</v>
      </c>
      <c r="C610" t="s">
        <v>634</v>
      </c>
      <c r="D610" t="s">
        <v>1148</v>
      </c>
      <c r="E610" t="str">
        <f>"0143110438"</f>
        <v>0143110438</v>
      </c>
      <c r="F610" t="str">
        <f>"9780143110439"</f>
        <v>9780143110439</v>
      </c>
      <c r="G610">
        <v>0</v>
      </c>
      <c r="H610">
        <v>4.33</v>
      </c>
      <c r="I610" t="s">
        <v>1174</v>
      </c>
      <c r="J610" t="s">
        <v>1507</v>
      </c>
      <c r="K610">
        <v>462</v>
      </c>
      <c r="L610">
        <v>2019</v>
      </c>
      <c r="M610">
        <v>2016</v>
      </c>
      <c r="O610" t="s">
        <v>1628</v>
      </c>
      <c r="P610" t="s">
        <v>1711</v>
      </c>
      <c r="T610">
        <v>0</v>
      </c>
      <c r="W610">
        <v>0</v>
      </c>
    </row>
    <row r="611" spans="1:23" x14ac:dyDescent="0.2">
      <c r="A611" s="1">
        <v>609</v>
      </c>
      <c r="B611">
        <v>30354429</v>
      </c>
      <c r="C611" t="s">
        <v>635</v>
      </c>
      <c r="D611" t="s">
        <v>1149</v>
      </c>
      <c r="E611" t="str">
        <f>"1476794049"</f>
        <v>1476794049</v>
      </c>
      <c r="F611" t="str">
        <f>"9781476794044"</f>
        <v>9781476794044</v>
      </c>
      <c r="G611">
        <v>0</v>
      </c>
      <c r="H611">
        <v>3.68</v>
      </c>
      <c r="I611" t="s">
        <v>1493</v>
      </c>
      <c r="J611" t="s">
        <v>1509</v>
      </c>
      <c r="K611">
        <v>307</v>
      </c>
      <c r="L611">
        <v>2017</v>
      </c>
      <c r="M611">
        <v>2017</v>
      </c>
      <c r="O611" t="s">
        <v>1628</v>
      </c>
      <c r="P611" t="s">
        <v>1711</v>
      </c>
      <c r="T611">
        <v>0</v>
      </c>
      <c r="W611">
        <v>0</v>
      </c>
    </row>
    <row r="612" spans="1:23" x14ac:dyDescent="0.2">
      <c r="A612" s="1">
        <v>610</v>
      </c>
      <c r="B612">
        <v>145660</v>
      </c>
      <c r="C612" t="s">
        <v>636</v>
      </c>
      <c r="D612" t="s">
        <v>1150</v>
      </c>
      <c r="E612" t="str">
        <f>"0679728562"</f>
        <v>0679728562</v>
      </c>
      <c r="F612" t="str">
        <f>"9780679728566"</f>
        <v>9780679728566</v>
      </c>
      <c r="G612">
        <v>0</v>
      </c>
      <c r="H612">
        <v>4.26</v>
      </c>
      <c r="I612" t="s">
        <v>1167</v>
      </c>
      <c r="J612" t="s">
        <v>1507</v>
      </c>
      <c r="K612">
        <v>272</v>
      </c>
      <c r="L612">
        <v>1990</v>
      </c>
      <c r="M612">
        <v>1953</v>
      </c>
      <c r="O612" t="s">
        <v>1628</v>
      </c>
      <c r="P612" t="s">
        <v>1711</v>
      </c>
      <c r="T612">
        <v>0</v>
      </c>
      <c r="W612">
        <v>0</v>
      </c>
    </row>
    <row r="613" spans="1:23" x14ac:dyDescent="0.2">
      <c r="A613" s="1">
        <v>611</v>
      </c>
      <c r="B613">
        <v>21853661</v>
      </c>
      <c r="C613" t="s">
        <v>637</v>
      </c>
      <c r="D613" t="s">
        <v>1151</v>
      </c>
      <c r="E613" t="str">
        <f>"1250045444"</f>
        <v>1250045444</v>
      </c>
      <c r="F613" t="str">
        <f>"9781250045447"</f>
        <v>9781250045447</v>
      </c>
      <c r="G613">
        <v>0</v>
      </c>
      <c r="H613">
        <v>4.12</v>
      </c>
      <c r="I613" t="s">
        <v>1189</v>
      </c>
      <c r="J613" t="s">
        <v>1509</v>
      </c>
      <c r="K613">
        <v>320</v>
      </c>
      <c r="L613">
        <v>2015</v>
      </c>
      <c r="M613">
        <v>2015</v>
      </c>
      <c r="O613" t="s">
        <v>1628</v>
      </c>
      <c r="P613" t="s">
        <v>1711</v>
      </c>
      <c r="T613">
        <v>0</v>
      </c>
      <c r="W613">
        <v>0</v>
      </c>
    </row>
    <row r="614" spans="1:23" x14ac:dyDescent="0.2">
      <c r="A614" s="1">
        <v>612</v>
      </c>
      <c r="B614">
        <v>6308079</v>
      </c>
      <c r="C614" t="s">
        <v>638</v>
      </c>
      <c r="D614" t="s">
        <v>776</v>
      </c>
      <c r="E614" t="str">
        <f>"0061661228"</f>
        <v>0061661228</v>
      </c>
      <c r="F614" t="str">
        <f>"9780061661228"</f>
        <v>9780061661228</v>
      </c>
      <c r="G614">
        <v>0</v>
      </c>
      <c r="H614">
        <v>4.29</v>
      </c>
      <c r="I614" t="s">
        <v>1302</v>
      </c>
      <c r="J614" t="s">
        <v>1509</v>
      </c>
      <c r="K614">
        <v>400</v>
      </c>
      <c r="L614">
        <v>2010</v>
      </c>
      <c r="M614">
        <v>2010</v>
      </c>
      <c r="O614" t="s">
        <v>1628</v>
      </c>
      <c r="P614" t="s">
        <v>1711</v>
      </c>
      <c r="T614">
        <v>0</v>
      </c>
      <c r="W614">
        <v>0</v>
      </c>
    </row>
    <row r="615" spans="1:23" x14ac:dyDescent="0.2">
      <c r="A615" s="1">
        <v>613</v>
      </c>
      <c r="B615">
        <v>64582</v>
      </c>
      <c r="C615" t="s">
        <v>639</v>
      </c>
      <c r="D615" t="s">
        <v>701</v>
      </c>
      <c r="E615" t="str">
        <f>"0140092501"</f>
        <v>0140092501</v>
      </c>
      <c r="F615" t="str">
        <f>"9780140092509"</f>
        <v>9780140092509</v>
      </c>
      <c r="G615">
        <v>0</v>
      </c>
      <c r="H615">
        <v>4.0199999999999996</v>
      </c>
      <c r="I615" t="s">
        <v>1494</v>
      </c>
      <c r="J615" t="s">
        <v>1507</v>
      </c>
      <c r="K615">
        <v>352</v>
      </c>
      <c r="L615">
        <v>1988</v>
      </c>
      <c r="M615">
        <v>1987</v>
      </c>
      <c r="O615" t="s">
        <v>1628</v>
      </c>
      <c r="P615" t="s">
        <v>1711</v>
      </c>
      <c r="T615">
        <v>0</v>
      </c>
      <c r="W615">
        <v>0</v>
      </c>
    </row>
    <row r="616" spans="1:23" x14ac:dyDescent="0.2">
      <c r="A616" s="1">
        <v>614</v>
      </c>
      <c r="B616">
        <v>28110891</v>
      </c>
      <c r="C616" t="s">
        <v>640</v>
      </c>
      <c r="D616" t="s">
        <v>702</v>
      </c>
      <c r="E616" t="str">
        <f>"0761169083"</f>
        <v>0761169083</v>
      </c>
      <c r="F616" t="str">
        <f>"9780761169086"</f>
        <v>9780761169086</v>
      </c>
      <c r="G616">
        <v>0</v>
      </c>
      <c r="H616">
        <v>4.24</v>
      </c>
      <c r="I616" t="s">
        <v>1495</v>
      </c>
      <c r="J616" t="s">
        <v>1509</v>
      </c>
      <c r="K616">
        <v>470</v>
      </c>
      <c r="L616">
        <v>2016</v>
      </c>
      <c r="M616">
        <v>2016</v>
      </c>
      <c r="O616" t="s">
        <v>1628</v>
      </c>
      <c r="P616" t="s">
        <v>1711</v>
      </c>
      <c r="T616">
        <v>0</v>
      </c>
      <c r="W616">
        <v>0</v>
      </c>
    </row>
    <row r="617" spans="1:23" x14ac:dyDescent="0.2">
      <c r="A617" s="1">
        <v>615</v>
      </c>
      <c r="B617">
        <v>17471298</v>
      </c>
      <c r="C617" t="s">
        <v>641</v>
      </c>
      <c r="D617" t="s">
        <v>1152</v>
      </c>
      <c r="E617" t="str">
        <f>"0521199565"</f>
        <v>0521199565</v>
      </c>
      <c r="F617" t="str">
        <f>"9780521199568"</f>
        <v>9780521199568</v>
      </c>
      <c r="G617">
        <v>0</v>
      </c>
      <c r="H617">
        <v>4.16</v>
      </c>
      <c r="I617" t="s">
        <v>1307</v>
      </c>
      <c r="J617" t="s">
        <v>1507</v>
      </c>
      <c r="K617">
        <v>370</v>
      </c>
      <c r="L617">
        <v>2013</v>
      </c>
      <c r="M617">
        <v>2013</v>
      </c>
      <c r="O617" t="s">
        <v>1628</v>
      </c>
      <c r="P617" t="s">
        <v>1711</v>
      </c>
      <c r="T617">
        <v>0</v>
      </c>
      <c r="W617">
        <v>0</v>
      </c>
    </row>
    <row r="618" spans="1:23" x14ac:dyDescent="0.2">
      <c r="A618" s="1">
        <v>616</v>
      </c>
      <c r="B618">
        <v>20527133</v>
      </c>
      <c r="C618" t="s">
        <v>642</v>
      </c>
      <c r="D618" t="s">
        <v>1153</v>
      </c>
      <c r="E618" t="str">
        <f>"0199678111"</f>
        <v>0199678111</v>
      </c>
      <c r="F618" t="str">
        <f>"9780199678112"</f>
        <v>9780199678112</v>
      </c>
      <c r="G618">
        <v>0</v>
      </c>
      <c r="H618">
        <v>3.87</v>
      </c>
      <c r="I618" t="s">
        <v>1186</v>
      </c>
      <c r="J618" t="s">
        <v>1509</v>
      </c>
      <c r="K618">
        <v>328</v>
      </c>
      <c r="L618">
        <v>2014</v>
      </c>
      <c r="M618">
        <v>2014</v>
      </c>
      <c r="O618" t="s">
        <v>1628</v>
      </c>
      <c r="P618" t="s">
        <v>1711</v>
      </c>
      <c r="T618">
        <v>0</v>
      </c>
      <c r="W618">
        <v>0</v>
      </c>
    </row>
    <row r="619" spans="1:23" x14ac:dyDescent="0.2">
      <c r="A619" s="1">
        <v>617</v>
      </c>
      <c r="B619">
        <v>13629</v>
      </c>
      <c r="C619" t="s">
        <v>643</v>
      </c>
      <c r="D619" t="s">
        <v>1154</v>
      </c>
      <c r="E619" t="str">
        <f>"0201835959"</f>
        <v>0201835959</v>
      </c>
      <c r="F619" t="str">
        <f>"9780201835953"</f>
        <v>9780201835953</v>
      </c>
      <c r="G619">
        <v>0</v>
      </c>
      <c r="H619">
        <v>4.04</v>
      </c>
      <c r="I619" t="s">
        <v>1496</v>
      </c>
      <c r="J619" t="s">
        <v>1507</v>
      </c>
      <c r="K619">
        <v>322</v>
      </c>
      <c r="L619">
        <v>1995</v>
      </c>
      <c r="M619">
        <v>1975</v>
      </c>
      <c r="O619" t="s">
        <v>1590</v>
      </c>
      <c r="P619" t="s">
        <v>1711</v>
      </c>
      <c r="T619">
        <v>0</v>
      </c>
      <c r="W619">
        <v>0</v>
      </c>
    </row>
    <row r="620" spans="1:23" x14ac:dyDescent="0.2">
      <c r="A620" s="1">
        <v>618</v>
      </c>
      <c r="B620">
        <v>24583</v>
      </c>
      <c r="C620" t="s">
        <v>644</v>
      </c>
      <c r="D620" t="s">
        <v>968</v>
      </c>
      <c r="E620" t="str">
        <f>"0143039563"</f>
        <v>0143039563</v>
      </c>
      <c r="F620" t="str">
        <f>"9780143039563"</f>
        <v>9780143039563</v>
      </c>
      <c r="G620">
        <v>0</v>
      </c>
      <c r="H620">
        <v>3.91</v>
      </c>
      <c r="I620" t="s">
        <v>1213</v>
      </c>
      <c r="J620" t="s">
        <v>1507</v>
      </c>
      <c r="K620">
        <v>244</v>
      </c>
      <c r="L620">
        <v>2006</v>
      </c>
      <c r="M620">
        <v>1876</v>
      </c>
      <c r="O620" t="s">
        <v>1590</v>
      </c>
      <c r="P620" t="s">
        <v>1711</v>
      </c>
      <c r="T620">
        <v>0</v>
      </c>
      <c r="W620">
        <v>0</v>
      </c>
    </row>
    <row r="621" spans="1:23" x14ac:dyDescent="0.2">
      <c r="A621" s="1">
        <v>619</v>
      </c>
      <c r="B621">
        <v>40102</v>
      </c>
      <c r="C621" t="s">
        <v>645</v>
      </c>
      <c r="D621" t="s">
        <v>711</v>
      </c>
      <c r="E621" t="str">
        <f>"0316010669"</f>
        <v>0316010669</v>
      </c>
      <c r="F621" t="str">
        <f>"9780316010665"</f>
        <v>9780316010665</v>
      </c>
      <c r="G621">
        <v>0</v>
      </c>
      <c r="H621">
        <v>3.94</v>
      </c>
      <c r="I621" t="s">
        <v>1175</v>
      </c>
      <c r="J621" t="s">
        <v>1507</v>
      </c>
      <c r="K621">
        <v>296</v>
      </c>
      <c r="L621">
        <v>2007</v>
      </c>
      <c r="M621">
        <v>2005</v>
      </c>
      <c r="O621" t="s">
        <v>1590</v>
      </c>
      <c r="P621" t="s">
        <v>1711</v>
      </c>
      <c r="T621">
        <v>0</v>
      </c>
      <c r="W621">
        <v>0</v>
      </c>
    </row>
    <row r="622" spans="1:23" x14ac:dyDescent="0.2">
      <c r="A622" s="1">
        <v>620</v>
      </c>
      <c r="B622">
        <v>12936</v>
      </c>
      <c r="C622" t="s">
        <v>646</v>
      </c>
      <c r="D622" t="s">
        <v>1017</v>
      </c>
      <c r="E622" t="str">
        <f>"0385732562"</f>
        <v>0385732562</v>
      </c>
      <c r="F622" t="str">
        <f>"9780385732567"</f>
        <v>9780385732567</v>
      </c>
      <c r="G622">
        <v>0</v>
      </c>
      <c r="H622">
        <v>3.81</v>
      </c>
      <c r="I622" t="s">
        <v>1497</v>
      </c>
      <c r="J622" t="s">
        <v>1507</v>
      </c>
      <c r="K622">
        <v>240</v>
      </c>
      <c r="L622">
        <v>2000</v>
      </c>
      <c r="M622">
        <v>2000</v>
      </c>
      <c r="O622" t="s">
        <v>1590</v>
      </c>
      <c r="P622" t="s">
        <v>1713</v>
      </c>
      <c r="T622">
        <v>1</v>
      </c>
      <c r="W622">
        <v>0</v>
      </c>
    </row>
    <row r="623" spans="1:23" x14ac:dyDescent="0.2">
      <c r="A623" s="1">
        <v>621</v>
      </c>
      <c r="B623">
        <v>12930</v>
      </c>
      <c r="C623" t="s">
        <v>647</v>
      </c>
      <c r="D623" t="s">
        <v>1017</v>
      </c>
      <c r="E623" t="str">
        <f>"0385732538"</f>
        <v>0385732538</v>
      </c>
      <c r="F623" t="str">
        <f>"9780385732536"</f>
        <v>9780385732536</v>
      </c>
      <c r="G623">
        <v>0</v>
      </c>
      <c r="H623">
        <v>3.91</v>
      </c>
      <c r="I623" t="s">
        <v>1498</v>
      </c>
      <c r="J623" t="s">
        <v>1507</v>
      </c>
      <c r="K623">
        <v>169</v>
      </c>
      <c r="L623">
        <v>2006</v>
      </c>
      <c r="M623">
        <v>2004</v>
      </c>
      <c r="O623" t="s">
        <v>1590</v>
      </c>
      <c r="P623" t="s">
        <v>1713</v>
      </c>
      <c r="T623">
        <v>1</v>
      </c>
      <c r="W623">
        <v>0</v>
      </c>
    </row>
    <row r="624" spans="1:23" x14ac:dyDescent="0.2">
      <c r="A624" s="1">
        <v>622</v>
      </c>
      <c r="B624">
        <v>19057</v>
      </c>
      <c r="C624" t="s">
        <v>648</v>
      </c>
      <c r="D624" t="s">
        <v>746</v>
      </c>
      <c r="E624" t="str">
        <f>"0375836675"</f>
        <v>0375836675</v>
      </c>
      <c r="F624" t="str">
        <f>"9780375836671"</f>
        <v>9780375836671</v>
      </c>
      <c r="G624">
        <v>0</v>
      </c>
      <c r="H624">
        <v>4.04</v>
      </c>
      <c r="I624" t="s">
        <v>1499</v>
      </c>
      <c r="J624" t="s">
        <v>1507</v>
      </c>
      <c r="K624">
        <v>357</v>
      </c>
      <c r="L624">
        <v>2006</v>
      </c>
      <c r="M624">
        <v>2002</v>
      </c>
      <c r="O624" t="s">
        <v>1590</v>
      </c>
      <c r="P624" t="s">
        <v>1713</v>
      </c>
      <c r="T624">
        <v>1</v>
      </c>
      <c r="W624">
        <v>0</v>
      </c>
    </row>
    <row r="625" spans="1:23" x14ac:dyDescent="0.2">
      <c r="A625" s="1">
        <v>623</v>
      </c>
      <c r="B625">
        <v>23106539</v>
      </c>
      <c r="C625" t="s">
        <v>649</v>
      </c>
      <c r="D625" t="s">
        <v>1155</v>
      </c>
      <c r="E625" t="str">
        <f>"1905559658"</f>
        <v>1905559658</v>
      </c>
      <c r="F625" t="str">
        <f>"9781905559657"</f>
        <v>9781905559657</v>
      </c>
      <c r="G625">
        <v>0</v>
      </c>
      <c r="H625">
        <v>3.66</v>
      </c>
      <c r="I625" t="s">
        <v>1500</v>
      </c>
      <c r="J625" t="s">
        <v>1508</v>
      </c>
      <c r="K625">
        <v>336</v>
      </c>
      <c r="L625">
        <v>2014</v>
      </c>
      <c r="M625">
        <v>2014</v>
      </c>
      <c r="O625" t="s">
        <v>1590</v>
      </c>
      <c r="P625" t="s">
        <v>1711</v>
      </c>
      <c r="T625">
        <v>0</v>
      </c>
      <c r="W625">
        <v>0</v>
      </c>
    </row>
    <row r="626" spans="1:23" x14ac:dyDescent="0.2">
      <c r="A626" s="1">
        <v>624</v>
      </c>
      <c r="B626">
        <v>136251</v>
      </c>
      <c r="C626" t="s">
        <v>650</v>
      </c>
      <c r="D626" t="s">
        <v>1156</v>
      </c>
      <c r="E626" t="str">
        <f>"0545010225"</f>
        <v>0545010225</v>
      </c>
      <c r="F626" t="str">
        <f>"9780545010221"</f>
        <v>9780545010221</v>
      </c>
      <c r="G626">
        <v>0</v>
      </c>
      <c r="H626">
        <v>4.62</v>
      </c>
      <c r="I626" t="s">
        <v>1501</v>
      </c>
      <c r="J626" t="s">
        <v>1509</v>
      </c>
      <c r="K626">
        <v>759</v>
      </c>
      <c r="L626">
        <v>2007</v>
      </c>
      <c r="M626">
        <v>2007</v>
      </c>
      <c r="O626" t="s">
        <v>1590</v>
      </c>
      <c r="P626" t="s">
        <v>1713</v>
      </c>
      <c r="T626">
        <v>1</v>
      </c>
      <c r="W626">
        <v>0</v>
      </c>
    </row>
    <row r="627" spans="1:23" x14ac:dyDescent="0.2">
      <c r="A627" s="1">
        <v>625</v>
      </c>
      <c r="B627">
        <v>1</v>
      </c>
      <c r="C627" t="s">
        <v>651</v>
      </c>
      <c r="D627" t="s">
        <v>1156</v>
      </c>
      <c r="E627" t="str">
        <f>""</f>
        <v/>
      </c>
      <c r="F627" t="str">
        <f>""</f>
        <v/>
      </c>
      <c r="G627">
        <v>0</v>
      </c>
      <c r="H627">
        <v>4.57</v>
      </c>
      <c r="I627" t="s">
        <v>1502</v>
      </c>
      <c r="J627" t="s">
        <v>1507</v>
      </c>
      <c r="K627">
        <v>652</v>
      </c>
      <c r="L627">
        <v>2006</v>
      </c>
      <c r="M627">
        <v>2005</v>
      </c>
      <c r="O627" t="s">
        <v>1590</v>
      </c>
      <c r="P627" t="s">
        <v>1713</v>
      </c>
      <c r="T627">
        <v>1</v>
      </c>
      <c r="W627">
        <v>0</v>
      </c>
    </row>
    <row r="628" spans="1:23" x14ac:dyDescent="0.2">
      <c r="A628" s="1">
        <v>626</v>
      </c>
      <c r="B628">
        <v>2</v>
      </c>
      <c r="C628" t="s">
        <v>652</v>
      </c>
      <c r="D628" t="s">
        <v>1156</v>
      </c>
      <c r="E628" t="str">
        <f>"0439358078"</f>
        <v>0439358078</v>
      </c>
      <c r="F628" t="str">
        <f>"9780439358071"</f>
        <v>9780439358071</v>
      </c>
      <c r="G628">
        <v>0</v>
      </c>
      <c r="H628">
        <v>4.5</v>
      </c>
      <c r="I628" t="s">
        <v>1502</v>
      </c>
      <c r="J628" t="s">
        <v>1507</v>
      </c>
      <c r="K628">
        <v>870</v>
      </c>
      <c r="L628">
        <v>2004</v>
      </c>
      <c r="M628">
        <v>2003</v>
      </c>
      <c r="O628" t="s">
        <v>1590</v>
      </c>
      <c r="P628" t="s">
        <v>1713</v>
      </c>
      <c r="T628">
        <v>1</v>
      </c>
      <c r="W628">
        <v>0</v>
      </c>
    </row>
    <row r="629" spans="1:23" x14ac:dyDescent="0.2">
      <c r="A629" s="1">
        <v>627</v>
      </c>
      <c r="B629">
        <v>6</v>
      </c>
      <c r="C629" t="s">
        <v>653</v>
      </c>
      <c r="D629" t="s">
        <v>1156</v>
      </c>
      <c r="E629" t="str">
        <f>""</f>
        <v/>
      </c>
      <c r="F629" t="str">
        <f>""</f>
        <v/>
      </c>
      <c r="G629">
        <v>0</v>
      </c>
      <c r="H629">
        <v>4.5599999999999996</v>
      </c>
      <c r="I629" t="s">
        <v>1503</v>
      </c>
      <c r="J629" t="s">
        <v>1507</v>
      </c>
      <c r="K629">
        <v>734</v>
      </c>
      <c r="L629">
        <v>2002</v>
      </c>
      <c r="M629">
        <v>2000</v>
      </c>
      <c r="O629" t="s">
        <v>1590</v>
      </c>
      <c r="P629" t="s">
        <v>1713</v>
      </c>
      <c r="T629">
        <v>1</v>
      </c>
      <c r="W629">
        <v>0</v>
      </c>
    </row>
    <row r="630" spans="1:23" x14ac:dyDescent="0.2">
      <c r="A630" s="1">
        <v>628</v>
      </c>
      <c r="B630">
        <v>15881</v>
      </c>
      <c r="C630" t="s">
        <v>654</v>
      </c>
      <c r="D630" t="s">
        <v>1156</v>
      </c>
      <c r="E630" t="str">
        <f>"0439064864"</f>
        <v>0439064864</v>
      </c>
      <c r="F630" t="str">
        <f>"9780439064866"</f>
        <v>9780439064866</v>
      </c>
      <c r="G630">
        <v>0</v>
      </c>
      <c r="H630">
        <v>4.43</v>
      </c>
      <c r="I630" t="s">
        <v>1501</v>
      </c>
      <c r="J630" t="s">
        <v>1509</v>
      </c>
      <c r="K630">
        <v>341</v>
      </c>
      <c r="L630">
        <v>1999</v>
      </c>
      <c r="M630">
        <v>1998</v>
      </c>
      <c r="O630" t="s">
        <v>1590</v>
      </c>
      <c r="P630" t="s">
        <v>1713</v>
      </c>
      <c r="T630">
        <v>1</v>
      </c>
      <c r="W630">
        <v>0</v>
      </c>
    </row>
    <row r="631" spans="1:23" x14ac:dyDescent="0.2">
      <c r="A631" s="1">
        <v>629</v>
      </c>
      <c r="B631">
        <v>5</v>
      </c>
      <c r="C631" t="s">
        <v>655</v>
      </c>
      <c r="D631" t="s">
        <v>1156</v>
      </c>
      <c r="E631" t="str">
        <f>"043965548X"</f>
        <v>043965548X</v>
      </c>
      <c r="F631" t="str">
        <f>"9780439655484"</f>
        <v>9780439655484</v>
      </c>
      <c r="G631">
        <v>0</v>
      </c>
      <c r="H631">
        <v>4.57</v>
      </c>
      <c r="I631" t="s">
        <v>1502</v>
      </c>
      <c r="J631" t="s">
        <v>1510</v>
      </c>
      <c r="K631">
        <v>435</v>
      </c>
      <c r="L631">
        <v>2004</v>
      </c>
      <c r="M631">
        <v>1999</v>
      </c>
      <c r="O631" t="s">
        <v>1590</v>
      </c>
      <c r="P631" t="s">
        <v>1713</v>
      </c>
      <c r="T631">
        <v>1</v>
      </c>
      <c r="W631">
        <v>0</v>
      </c>
    </row>
    <row r="632" spans="1:23" x14ac:dyDescent="0.2">
      <c r="A632" s="1">
        <v>630</v>
      </c>
      <c r="B632">
        <v>3</v>
      </c>
      <c r="C632" t="s">
        <v>656</v>
      </c>
      <c r="D632" t="s">
        <v>1156</v>
      </c>
      <c r="E632" t="str">
        <f>""</f>
        <v/>
      </c>
      <c r="F632" t="str">
        <f>""</f>
        <v/>
      </c>
      <c r="G632">
        <v>0</v>
      </c>
      <c r="H632">
        <v>4.47</v>
      </c>
      <c r="I632" t="s">
        <v>1504</v>
      </c>
      <c r="J632" t="s">
        <v>1509</v>
      </c>
      <c r="K632">
        <v>309</v>
      </c>
      <c r="L632">
        <v>2003</v>
      </c>
      <c r="M632">
        <v>1997</v>
      </c>
      <c r="O632" t="s">
        <v>1590</v>
      </c>
      <c r="P632" t="s">
        <v>1713</v>
      </c>
      <c r="T632">
        <v>1</v>
      </c>
      <c r="W632">
        <v>0</v>
      </c>
    </row>
    <row r="633" spans="1:23" x14ac:dyDescent="0.2">
      <c r="A633" s="1">
        <v>631</v>
      </c>
      <c r="B633">
        <v>3636</v>
      </c>
      <c r="C633" t="s">
        <v>657</v>
      </c>
      <c r="D633" t="s">
        <v>1017</v>
      </c>
      <c r="E633" t="str">
        <f>"0385732554"</f>
        <v>0385732554</v>
      </c>
      <c r="F633" t="str">
        <f>"9780385732550"</f>
        <v>9780385732550</v>
      </c>
      <c r="G633">
        <v>0</v>
      </c>
      <c r="H633">
        <v>4.13</v>
      </c>
      <c r="I633" t="s">
        <v>1498</v>
      </c>
      <c r="J633" t="s">
        <v>1507</v>
      </c>
      <c r="K633">
        <v>208</v>
      </c>
      <c r="L633">
        <v>2006</v>
      </c>
      <c r="M633">
        <v>1993</v>
      </c>
      <c r="O633" t="s">
        <v>1587</v>
      </c>
      <c r="P633" t="s">
        <v>1713</v>
      </c>
      <c r="T633">
        <v>1</v>
      </c>
      <c r="W633">
        <v>0</v>
      </c>
    </row>
    <row r="634" spans="1:23" x14ac:dyDescent="0.2">
      <c r="A634" s="1">
        <v>632</v>
      </c>
      <c r="B634">
        <v>32682</v>
      </c>
      <c r="C634" t="s">
        <v>658</v>
      </c>
      <c r="D634" t="s">
        <v>741</v>
      </c>
      <c r="E634" t="str">
        <f>"0425134350"</f>
        <v>0425134350</v>
      </c>
      <c r="F634" t="str">
        <f>"9780425134351"</f>
        <v>9780425134351</v>
      </c>
      <c r="G634">
        <v>0</v>
      </c>
      <c r="H634">
        <v>4.13</v>
      </c>
      <c r="I634" t="s">
        <v>1169</v>
      </c>
      <c r="J634" t="s">
        <v>1507</v>
      </c>
      <c r="K634">
        <v>503</v>
      </c>
      <c r="L634">
        <v>1992</v>
      </c>
      <c r="M634">
        <v>1987</v>
      </c>
      <c r="O634" t="s">
        <v>1587</v>
      </c>
      <c r="P634" t="s">
        <v>1713</v>
      </c>
      <c r="T634">
        <v>1</v>
      </c>
      <c r="W634">
        <v>0</v>
      </c>
    </row>
    <row r="635" spans="1:23" x14ac:dyDescent="0.2">
      <c r="A635" s="1">
        <v>633</v>
      </c>
      <c r="B635">
        <v>274064</v>
      </c>
      <c r="C635" t="s">
        <v>659</v>
      </c>
      <c r="D635" t="s">
        <v>1157</v>
      </c>
      <c r="E635" t="str">
        <f>"0395393884"</f>
        <v>0395393884</v>
      </c>
      <c r="F635" t="str">
        <f>"9780395393888"</f>
        <v>9780395393888</v>
      </c>
      <c r="G635">
        <v>0</v>
      </c>
      <c r="H635">
        <v>4.17</v>
      </c>
      <c r="I635" t="s">
        <v>1369</v>
      </c>
      <c r="J635" t="s">
        <v>1507</v>
      </c>
      <c r="K635">
        <v>228</v>
      </c>
      <c r="L635">
        <v>1985</v>
      </c>
      <c r="M635">
        <v>1984</v>
      </c>
      <c r="O635" t="s">
        <v>1587</v>
      </c>
      <c r="P635" t="s">
        <v>1713</v>
      </c>
      <c r="T635">
        <v>1</v>
      </c>
      <c r="W635">
        <v>0</v>
      </c>
    </row>
    <row r="636" spans="1:23" x14ac:dyDescent="0.2">
      <c r="A636" s="1">
        <v>634</v>
      </c>
      <c r="B636">
        <v>1622</v>
      </c>
      <c r="C636" t="s">
        <v>660</v>
      </c>
      <c r="D636" t="s">
        <v>934</v>
      </c>
      <c r="E636" t="str">
        <f>"0743477545"</f>
        <v>0743477545</v>
      </c>
      <c r="F636" t="str">
        <f>"9780743477543"</f>
        <v>9780743477543</v>
      </c>
      <c r="G636">
        <v>0</v>
      </c>
      <c r="H636">
        <v>3.95</v>
      </c>
      <c r="I636" t="s">
        <v>1505</v>
      </c>
      <c r="J636" t="s">
        <v>1507</v>
      </c>
      <c r="K636">
        <v>240</v>
      </c>
      <c r="L636">
        <v>2016</v>
      </c>
      <c r="M636">
        <v>1595</v>
      </c>
      <c r="O636" t="s">
        <v>1587</v>
      </c>
      <c r="P636" t="s">
        <v>1713</v>
      </c>
      <c r="T636">
        <v>1</v>
      </c>
      <c r="W636">
        <v>0</v>
      </c>
    </row>
    <row r="637" spans="1:23" x14ac:dyDescent="0.2">
      <c r="A637" s="1">
        <v>635</v>
      </c>
      <c r="B637">
        <v>18114322</v>
      </c>
      <c r="C637" t="s">
        <v>661</v>
      </c>
      <c r="D637" t="s">
        <v>723</v>
      </c>
      <c r="E637" t="str">
        <f>"067001690X"</f>
        <v>067001690X</v>
      </c>
      <c r="F637" t="str">
        <f>"9780670016907"</f>
        <v>9780670016907</v>
      </c>
      <c r="G637">
        <v>0</v>
      </c>
      <c r="H637">
        <v>3.97</v>
      </c>
      <c r="I637" t="s">
        <v>1291</v>
      </c>
      <c r="J637" t="s">
        <v>1509</v>
      </c>
      <c r="K637">
        <v>479</v>
      </c>
      <c r="L637">
        <v>2014</v>
      </c>
      <c r="M637">
        <v>1939</v>
      </c>
      <c r="O637" t="s">
        <v>1587</v>
      </c>
      <c r="P637" t="s">
        <v>1713</v>
      </c>
      <c r="T637">
        <v>1</v>
      </c>
      <c r="W637">
        <v>0</v>
      </c>
    </row>
    <row r="638" spans="1:23" x14ac:dyDescent="0.2">
      <c r="A638" s="1">
        <v>636</v>
      </c>
      <c r="B638">
        <v>4406</v>
      </c>
      <c r="C638" t="s">
        <v>662</v>
      </c>
      <c r="D638" t="s">
        <v>723</v>
      </c>
      <c r="E638" t="str">
        <f>"0142000655"</f>
        <v>0142000655</v>
      </c>
      <c r="F638" t="str">
        <f>"9780142000656"</f>
        <v>9780142000656</v>
      </c>
      <c r="G638">
        <v>0</v>
      </c>
      <c r="H638">
        <v>4.38</v>
      </c>
      <c r="I638" t="s">
        <v>1174</v>
      </c>
      <c r="J638" t="s">
        <v>1507</v>
      </c>
      <c r="K638">
        <v>601</v>
      </c>
      <c r="L638">
        <v>2002</v>
      </c>
      <c r="M638">
        <v>1952</v>
      </c>
      <c r="O638" t="s">
        <v>1587</v>
      </c>
      <c r="P638" t="s">
        <v>1713</v>
      </c>
      <c r="T638">
        <v>1</v>
      </c>
      <c r="W638">
        <v>0</v>
      </c>
    </row>
    <row r="639" spans="1:23" x14ac:dyDescent="0.2">
      <c r="A639" s="1">
        <v>637</v>
      </c>
      <c r="B639">
        <v>5197</v>
      </c>
      <c r="C639" t="s">
        <v>663</v>
      </c>
      <c r="D639" t="s">
        <v>1158</v>
      </c>
      <c r="E639" t="str">
        <f>"0375702709"</f>
        <v>0375702709</v>
      </c>
      <c r="F639" t="str">
        <f>"9780375702709"</f>
        <v>9780375702709</v>
      </c>
      <c r="G639">
        <v>0</v>
      </c>
      <c r="H639">
        <v>3.96</v>
      </c>
      <c r="I639" t="s">
        <v>1167</v>
      </c>
      <c r="J639" t="s">
        <v>1507</v>
      </c>
      <c r="K639">
        <v>256</v>
      </c>
      <c r="L639">
        <v>1997</v>
      </c>
      <c r="M639">
        <v>1993</v>
      </c>
      <c r="O639" t="s">
        <v>1587</v>
      </c>
      <c r="P639" t="s">
        <v>1713</v>
      </c>
      <c r="T639">
        <v>1</v>
      </c>
      <c r="W639">
        <v>0</v>
      </c>
    </row>
    <row r="640" spans="1:23" x14ac:dyDescent="0.2">
      <c r="A640" s="1">
        <v>638</v>
      </c>
      <c r="B640">
        <v>68143</v>
      </c>
      <c r="C640" t="s">
        <v>664</v>
      </c>
      <c r="D640" t="s">
        <v>1159</v>
      </c>
      <c r="E640" t="str">
        <f>"0385721706"</f>
        <v>0385721706</v>
      </c>
      <c r="F640" t="str">
        <f>"9780385721707"</f>
        <v>9780385721707</v>
      </c>
      <c r="G640">
        <v>0</v>
      </c>
      <c r="H640">
        <v>3.81</v>
      </c>
      <c r="I640" t="s">
        <v>1373</v>
      </c>
      <c r="J640" t="s">
        <v>1507</v>
      </c>
      <c r="K640">
        <v>306</v>
      </c>
      <c r="L640">
        <v>2005</v>
      </c>
      <c r="M640">
        <v>2004</v>
      </c>
      <c r="O640" t="s">
        <v>1587</v>
      </c>
      <c r="P640" t="s">
        <v>1713</v>
      </c>
      <c r="T640">
        <v>1</v>
      </c>
      <c r="W640">
        <v>0</v>
      </c>
    </row>
    <row r="641" spans="1:23" x14ac:dyDescent="0.2">
      <c r="A641" s="1">
        <v>639</v>
      </c>
      <c r="B641">
        <v>18160</v>
      </c>
      <c r="C641" t="s">
        <v>665</v>
      </c>
      <c r="D641" t="s">
        <v>1160</v>
      </c>
      <c r="E641" t="str">
        <f>"076454280X"</f>
        <v>076454280X</v>
      </c>
      <c r="F641" t="str">
        <f>"9780764542800"</f>
        <v>9780764542800</v>
      </c>
      <c r="G641">
        <v>0</v>
      </c>
      <c r="H641">
        <v>3.77</v>
      </c>
      <c r="I641" t="s">
        <v>1310</v>
      </c>
      <c r="J641" t="s">
        <v>1507</v>
      </c>
      <c r="K641">
        <v>352</v>
      </c>
      <c r="L641">
        <v>2003</v>
      </c>
      <c r="M641">
        <v>2001</v>
      </c>
      <c r="O641" t="s">
        <v>1587</v>
      </c>
      <c r="P641" t="s">
        <v>1713</v>
      </c>
      <c r="T641">
        <v>1</v>
      </c>
      <c r="W641">
        <v>0</v>
      </c>
    </row>
    <row r="642" spans="1:23" x14ac:dyDescent="0.2">
      <c r="A642" s="1">
        <v>640</v>
      </c>
      <c r="B642">
        <v>628070</v>
      </c>
      <c r="C642" t="s">
        <v>666</v>
      </c>
      <c r="D642" t="s">
        <v>1161</v>
      </c>
      <c r="E642" t="str">
        <f>"0785274308"</f>
        <v>0785274308</v>
      </c>
      <c r="F642" t="str">
        <f>"9780785274308"</f>
        <v>9780785274308</v>
      </c>
      <c r="G642">
        <v>0</v>
      </c>
      <c r="H642">
        <v>4.28</v>
      </c>
      <c r="I642" t="s">
        <v>1506</v>
      </c>
      <c r="J642" t="s">
        <v>1509</v>
      </c>
      <c r="K642">
        <v>209</v>
      </c>
      <c r="L642">
        <v>2000</v>
      </c>
      <c r="M642">
        <v>2000</v>
      </c>
      <c r="O642" t="s">
        <v>1587</v>
      </c>
      <c r="P642" t="s">
        <v>1713</v>
      </c>
      <c r="T642">
        <v>1</v>
      </c>
      <c r="W64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Ethan Morse</cp:lastModifiedBy>
  <dcterms:created xsi:type="dcterms:W3CDTF">2020-12-13T20:54:47Z</dcterms:created>
  <dcterms:modified xsi:type="dcterms:W3CDTF">2020-12-15T00:54:15Z</dcterms:modified>
</cp:coreProperties>
</file>