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3" activeTab="16"/>
  </bookViews>
  <sheets>
    <sheet name="Bai1" sheetId="1" r:id="rId1"/>
    <sheet name="Bai2" sheetId="2" r:id="rId2"/>
    <sheet name="Bai3" sheetId="3" r:id="rId3"/>
    <sheet name="Bai4" sheetId="4" r:id="rId4"/>
    <sheet name="Bai5" sheetId="5" r:id="rId5"/>
    <sheet name="Bai6" sheetId="6" r:id="rId6"/>
    <sheet name="Bai7" sheetId="7" r:id="rId7"/>
    <sheet name="Bai8" sheetId="8" r:id="rId8"/>
    <sheet name="Bai9" sheetId="9" r:id="rId9"/>
    <sheet name="Bai10" sheetId="10" r:id="rId10"/>
    <sheet name="Bai11" sheetId="11" r:id="rId11"/>
    <sheet name="Bai12" sheetId="12" r:id="rId12"/>
    <sheet name="Bai13" sheetId="13" r:id="rId13"/>
    <sheet name="Bai14" sheetId="14" r:id="rId14"/>
    <sheet name="Bai15" sheetId="15" r:id="rId15"/>
    <sheet name="Bai16" sheetId="16" r:id="rId16"/>
    <sheet name="Bai17" sheetId="17" r:id="rId17"/>
    <sheet name="Bai18" sheetId="18" r:id="rId18"/>
  </sheets>
  <definedNames>
    <definedName name="_xlnm._FilterDatabase" localSheetId="15" hidden="1">'Bai16'!$A$11:$M$19</definedName>
    <definedName name="_xlnm._FilterDatabase" localSheetId="5" hidden="1">'Bai6'!$A$4:$F$13</definedName>
    <definedName name="_xlnm._FilterDatabase" localSheetId="8" hidden="1">'Bai9'!$A$3:$H$9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7" l="1"/>
  <c r="H4" i="17"/>
  <c r="H5" i="17"/>
  <c r="H6" i="17"/>
  <c r="H16" i="17" s="1"/>
  <c r="H7" i="17"/>
  <c r="H8" i="17"/>
  <c r="H9" i="17"/>
  <c r="H10" i="17"/>
  <c r="H11" i="17"/>
  <c r="H12" i="17"/>
  <c r="F16" i="17"/>
  <c r="G16" i="17"/>
  <c r="G4" i="17" l="1"/>
  <c r="G5" i="17"/>
  <c r="G6" i="17"/>
  <c r="G7" i="17"/>
  <c r="G8" i="17"/>
  <c r="G9" i="17"/>
  <c r="G10" i="17"/>
  <c r="G11" i="17"/>
  <c r="G12" i="17"/>
  <c r="G3" i="17"/>
  <c r="H3" i="17" s="1"/>
  <c r="F4" i="17"/>
  <c r="F5" i="17"/>
  <c r="F6" i="17"/>
  <c r="F7" i="17"/>
  <c r="F8" i="17"/>
  <c r="F9" i="17"/>
  <c r="F10" i="17"/>
  <c r="F11" i="17"/>
  <c r="F12" i="17"/>
  <c r="F3" i="17"/>
  <c r="C4" i="17"/>
  <c r="C5" i="17"/>
  <c r="C6" i="17"/>
  <c r="C7" i="17"/>
  <c r="C8" i="17"/>
  <c r="C9" i="17"/>
  <c r="C10" i="17"/>
  <c r="C11" i="17"/>
  <c r="C12" i="17"/>
  <c r="C3" i="17"/>
  <c r="D4" i="17"/>
  <c r="D3" i="17"/>
  <c r="L32" i="16" l="1"/>
  <c r="J32" i="16"/>
  <c r="E32" i="16"/>
  <c r="I32" i="16" s="1"/>
  <c r="D32" i="16"/>
  <c r="L31" i="16"/>
  <c r="J31" i="16"/>
  <c r="E31" i="16"/>
  <c r="I31" i="16" s="1"/>
  <c r="K31" i="16" s="1"/>
  <c r="D31" i="16"/>
  <c r="L30" i="16"/>
  <c r="J30" i="16"/>
  <c r="E30" i="16"/>
  <c r="I30" i="16" s="1"/>
  <c r="D30" i="16"/>
  <c r="L19" i="16"/>
  <c r="L12" i="16"/>
  <c r="L15" i="16"/>
  <c r="L13" i="16"/>
  <c r="L17" i="16"/>
  <c r="L14" i="16"/>
  <c r="L18" i="16"/>
  <c r="L16" i="16"/>
  <c r="J19" i="16"/>
  <c r="M19" i="16" s="1"/>
  <c r="J12" i="16"/>
  <c r="M12" i="16" s="1"/>
  <c r="J15" i="16"/>
  <c r="M15" i="16" s="1"/>
  <c r="J13" i="16"/>
  <c r="M13" i="16" s="1"/>
  <c r="J17" i="16"/>
  <c r="M17" i="16" s="1"/>
  <c r="J14" i="16"/>
  <c r="M14" i="16" s="1"/>
  <c r="J18" i="16"/>
  <c r="M18" i="16" s="1"/>
  <c r="J16" i="16"/>
  <c r="E19" i="16"/>
  <c r="I19" i="16" s="1"/>
  <c r="E12" i="16"/>
  <c r="I12" i="16" s="1"/>
  <c r="E15" i="16"/>
  <c r="I15" i="16" s="1"/>
  <c r="E13" i="16"/>
  <c r="I13" i="16" s="1"/>
  <c r="E17" i="16"/>
  <c r="I17" i="16" s="1"/>
  <c r="E14" i="16"/>
  <c r="I14" i="16" s="1"/>
  <c r="E18" i="16"/>
  <c r="I18" i="16" s="1"/>
  <c r="E16" i="16"/>
  <c r="I16" i="16" s="1"/>
  <c r="D19" i="16"/>
  <c r="D12" i="16"/>
  <c r="D15" i="16"/>
  <c r="D13" i="16"/>
  <c r="D17" i="16"/>
  <c r="D14" i="16"/>
  <c r="D18" i="16"/>
  <c r="D16" i="16"/>
  <c r="E14" i="15"/>
  <c r="E15" i="15"/>
  <c r="E16" i="15"/>
  <c r="E13" i="15"/>
  <c r="G7" i="15"/>
  <c r="G8" i="15"/>
  <c r="G9" i="15"/>
  <c r="G6" i="15"/>
  <c r="E7" i="15"/>
  <c r="H7" i="15" s="1"/>
  <c r="E8" i="15"/>
  <c r="H8" i="15" s="1"/>
  <c r="E9" i="15"/>
  <c r="H9" i="15" s="1"/>
  <c r="E6" i="15"/>
  <c r="H6" i="15" s="1"/>
  <c r="D7" i="15"/>
  <c r="D8" i="15"/>
  <c r="D9" i="15"/>
  <c r="D6" i="15"/>
  <c r="C7" i="14"/>
  <c r="C8" i="14"/>
  <c r="C9" i="14"/>
  <c r="C10" i="14"/>
  <c r="E10" i="14" s="1"/>
  <c r="C11" i="14"/>
  <c r="C12" i="14"/>
  <c r="C13" i="14"/>
  <c r="C6" i="14"/>
  <c r="G19" i="14"/>
  <c r="G20" i="14"/>
  <c r="G21" i="14"/>
  <c r="G22" i="14"/>
  <c r="G18" i="14"/>
  <c r="E7" i="14"/>
  <c r="F7" i="14" s="1"/>
  <c r="G7" i="14" s="1"/>
  <c r="E8" i="14"/>
  <c r="F8" i="14" s="1"/>
  <c r="G8" i="14" s="1"/>
  <c r="E9" i="14"/>
  <c r="E11" i="14"/>
  <c r="F11" i="14" s="1"/>
  <c r="G11" i="14" s="1"/>
  <c r="E12" i="14"/>
  <c r="E13" i="14"/>
  <c r="B7" i="14"/>
  <c r="B8" i="14"/>
  <c r="B9" i="14"/>
  <c r="B10" i="14"/>
  <c r="B11" i="14"/>
  <c r="B12" i="14"/>
  <c r="B13" i="14"/>
  <c r="B6" i="14"/>
  <c r="H6" i="13"/>
  <c r="H7" i="13"/>
  <c r="H8" i="13"/>
  <c r="H5" i="13"/>
  <c r="G6" i="13"/>
  <c r="I6" i="13" s="1"/>
  <c r="J6" i="13" s="1"/>
  <c r="G7" i="13"/>
  <c r="I7" i="13" s="1"/>
  <c r="J7" i="13" s="1"/>
  <c r="G8" i="13"/>
  <c r="I8" i="13" s="1"/>
  <c r="J8" i="13" s="1"/>
  <c r="G5" i="13"/>
  <c r="I5" i="13" s="1"/>
  <c r="J5" i="13" s="1"/>
  <c r="D6" i="13"/>
  <c r="D7" i="13"/>
  <c r="D8" i="13"/>
  <c r="D5" i="13"/>
  <c r="M31" i="16" l="1"/>
  <c r="K32" i="16"/>
  <c r="K30" i="16"/>
  <c r="M30" i="16"/>
  <c r="M32" i="16"/>
  <c r="K13" i="16"/>
  <c r="M16" i="16"/>
  <c r="F23" i="16" s="1"/>
  <c r="K16" i="16"/>
  <c r="K18" i="16"/>
  <c r="K15" i="16"/>
  <c r="K14" i="16"/>
  <c r="K12" i="16"/>
  <c r="K17" i="16"/>
  <c r="K19" i="16"/>
  <c r="F13" i="14"/>
  <c r="G13" i="14" s="1"/>
  <c r="F9" i="14"/>
  <c r="G9" i="14" s="1"/>
  <c r="F10" i="14"/>
  <c r="G10" i="14" s="1"/>
  <c r="F12" i="14"/>
  <c r="G12" i="14" s="1"/>
  <c r="E6" i="14"/>
  <c r="F6" i="14" s="1"/>
  <c r="G6" i="14" s="1"/>
  <c r="E7" i="12"/>
  <c r="E6" i="12"/>
  <c r="E8" i="12"/>
  <c r="E4" i="12"/>
  <c r="E9" i="12"/>
  <c r="E10" i="12"/>
  <c r="E5" i="12"/>
  <c r="C7" i="12"/>
  <c r="F7" i="12" s="1"/>
  <c r="C6" i="12"/>
  <c r="C8" i="12"/>
  <c r="F8" i="12" s="1"/>
  <c r="G8" i="12" s="1"/>
  <c r="C4" i="12"/>
  <c r="C9" i="12"/>
  <c r="F9" i="12" s="1"/>
  <c r="C10" i="12"/>
  <c r="F10" i="12" s="1"/>
  <c r="C5" i="12"/>
  <c r="F5" i="12" s="1"/>
  <c r="E5" i="11"/>
  <c r="F5" i="11" s="1"/>
  <c r="E6" i="11"/>
  <c r="F6" i="11" s="1"/>
  <c r="E7" i="11"/>
  <c r="F7" i="11" s="1"/>
  <c r="E4" i="11"/>
  <c r="F4" i="11" s="1"/>
  <c r="F8" i="11" s="1"/>
  <c r="D5" i="11"/>
  <c r="D6" i="11"/>
  <c r="D7" i="11"/>
  <c r="D4" i="11"/>
  <c r="B5" i="11"/>
  <c r="B6" i="11"/>
  <c r="B7" i="11"/>
  <c r="B4" i="11"/>
  <c r="D9" i="10"/>
  <c r="E9" i="10" s="1"/>
  <c r="F9" i="10" s="1"/>
  <c r="G9" i="10" s="1"/>
  <c r="G10" i="10"/>
  <c r="F10" i="10"/>
  <c r="E7" i="10"/>
  <c r="F7" i="10" s="1"/>
  <c r="G7" i="10" s="1"/>
  <c r="E10" i="10"/>
  <c r="D6" i="10"/>
  <c r="E6" i="10" s="1"/>
  <c r="F6" i="10" s="1"/>
  <c r="G6" i="10" s="1"/>
  <c r="D7" i="10"/>
  <c r="D8" i="10"/>
  <c r="E8" i="10" s="1"/>
  <c r="F8" i="10" s="1"/>
  <c r="G8" i="10" s="1"/>
  <c r="D10" i="10"/>
  <c r="D5" i="10"/>
  <c r="E5" i="10" s="1"/>
  <c r="F5" i="10" s="1"/>
  <c r="G5" i="10" s="1"/>
  <c r="E23" i="16" l="1"/>
  <c r="D23" i="16"/>
  <c r="G10" i="12"/>
  <c r="G9" i="12"/>
  <c r="F6" i="12"/>
  <c r="G6" i="12" s="1"/>
  <c r="G7" i="12"/>
  <c r="F4" i="12"/>
  <c r="G4" i="12" s="1"/>
  <c r="G5" i="12"/>
  <c r="D10" i="9"/>
  <c r="C10" i="9"/>
  <c r="E5" i="9"/>
  <c r="E6" i="9"/>
  <c r="E7" i="9"/>
  <c r="F7" i="9" s="1"/>
  <c r="E8" i="9"/>
  <c r="F8" i="9" s="1"/>
  <c r="E9" i="9"/>
  <c r="E4" i="9"/>
  <c r="E10" i="9" s="1"/>
  <c r="G8" i="9" l="1"/>
  <c r="H8" i="9" s="1"/>
  <c r="G7" i="9"/>
  <c r="H7" i="9" s="1"/>
  <c r="G6" i="9"/>
  <c r="F4" i="9"/>
  <c r="F6" i="9"/>
  <c r="F9" i="9"/>
  <c r="F5" i="9"/>
  <c r="F7" i="8"/>
  <c r="F8" i="8"/>
  <c r="F9" i="8"/>
  <c r="F10" i="8"/>
  <c r="F11" i="8"/>
  <c r="E8" i="8"/>
  <c r="G8" i="8" s="1"/>
  <c r="H8" i="8" s="1"/>
  <c r="E9" i="8"/>
  <c r="G9" i="8" s="1"/>
  <c r="H9" i="8" s="1"/>
  <c r="E10" i="8"/>
  <c r="G10" i="8" s="1"/>
  <c r="H10" i="8" s="1"/>
  <c r="E11" i="8"/>
  <c r="G11" i="8" s="1"/>
  <c r="H11" i="8" s="1"/>
  <c r="E7" i="8"/>
  <c r="G7" i="8" s="1"/>
  <c r="H7" i="8" s="1"/>
  <c r="D5" i="7"/>
  <c r="D6" i="7"/>
  <c r="D7" i="7"/>
  <c r="D8" i="7"/>
  <c r="D4" i="7"/>
  <c r="C5" i="7"/>
  <c r="C6" i="7"/>
  <c r="E6" i="7" s="1"/>
  <c r="F6" i="7" s="1"/>
  <c r="C7" i="7"/>
  <c r="C8" i="7"/>
  <c r="C4" i="7"/>
  <c r="E6" i="6"/>
  <c r="F6" i="6" s="1"/>
  <c r="E8" i="6"/>
  <c r="F8" i="6" s="1"/>
  <c r="E7" i="6"/>
  <c r="F7" i="6" s="1"/>
  <c r="E10" i="6"/>
  <c r="F10" i="6" s="1"/>
  <c r="E5" i="6"/>
  <c r="F5" i="6" s="1"/>
  <c r="E9" i="6"/>
  <c r="F9" i="6" s="1"/>
  <c r="E12" i="6"/>
  <c r="F12" i="6" s="1"/>
  <c r="E11" i="6"/>
  <c r="F11" i="6" s="1"/>
  <c r="F10" i="9" l="1"/>
  <c r="E8" i="7"/>
  <c r="F8" i="7" s="1"/>
  <c r="H6" i="9"/>
  <c r="G5" i="9"/>
  <c r="H5" i="9" s="1"/>
  <c r="G9" i="9"/>
  <c r="H9" i="9" s="1"/>
  <c r="G4" i="9"/>
  <c r="E7" i="7"/>
  <c r="F7" i="7" s="1"/>
  <c r="E4" i="7"/>
  <c r="F4" i="7" s="1"/>
  <c r="E5" i="7"/>
  <c r="F5" i="7" s="1"/>
  <c r="F13" i="6"/>
  <c r="E13" i="6"/>
  <c r="J1" i="5"/>
  <c r="H4" i="5"/>
  <c r="H5" i="5"/>
  <c r="H6" i="5"/>
  <c r="H7" i="5"/>
  <c r="H8" i="5"/>
  <c r="H9" i="5"/>
  <c r="H10" i="5"/>
  <c r="H11" i="5"/>
  <c r="H3" i="5"/>
  <c r="G4" i="5"/>
  <c r="G5" i="5"/>
  <c r="I5" i="5" s="1"/>
  <c r="G6" i="5"/>
  <c r="G7" i="5"/>
  <c r="I7" i="5" s="1"/>
  <c r="J7" i="5" s="1"/>
  <c r="G8" i="5"/>
  <c r="G9" i="5"/>
  <c r="I9" i="5" s="1"/>
  <c r="G10" i="5"/>
  <c r="G11" i="5"/>
  <c r="I11" i="5" s="1"/>
  <c r="J11" i="5" s="1"/>
  <c r="G3" i="5"/>
  <c r="H4" i="9" l="1"/>
  <c r="H10" i="9" s="1"/>
  <c r="G10" i="9"/>
  <c r="H15" i="5"/>
  <c r="I6" i="5"/>
  <c r="J6" i="5" s="1"/>
  <c r="G13" i="5"/>
  <c r="I8" i="5"/>
  <c r="J8" i="5" s="1"/>
  <c r="I4" i="5"/>
  <c r="J4" i="5" s="1"/>
  <c r="J5" i="5"/>
  <c r="I10" i="5"/>
  <c r="J10" i="5" s="1"/>
  <c r="G15" i="5"/>
  <c r="G14" i="5"/>
  <c r="H14" i="5"/>
  <c r="J9" i="5"/>
  <c r="H12" i="5"/>
  <c r="H13" i="5"/>
  <c r="I3" i="5"/>
  <c r="G12" i="5"/>
  <c r="E3" i="4"/>
  <c r="E4" i="4"/>
  <c r="E5" i="4"/>
  <c r="E6" i="4"/>
  <c r="E7" i="4"/>
  <c r="E2" i="4"/>
  <c r="D3" i="4"/>
  <c r="D4" i="4"/>
  <c r="D5" i="4"/>
  <c r="D6" i="4"/>
  <c r="D7" i="4"/>
  <c r="D2" i="4"/>
  <c r="B3" i="4"/>
  <c r="B4" i="4"/>
  <c r="B5" i="4"/>
  <c r="B6" i="4"/>
  <c r="B7" i="4"/>
  <c r="B2" i="4"/>
  <c r="F5" i="4" l="1"/>
  <c r="F6" i="4"/>
  <c r="F2" i="4"/>
  <c r="F4" i="4"/>
  <c r="F7" i="4"/>
  <c r="F3" i="4"/>
  <c r="J3" i="5"/>
  <c r="I14" i="5"/>
  <c r="I15" i="5"/>
  <c r="I13" i="5"/>
  <c r="I12" i="5"/>
  <c r="D4" i="3"/>
  <c r="D5" i="3"/>
  <c r="D6" i="3"/>
  <c r="D7" i="3"/>
  <c r="D3" i="3"/>
  <c r="C3" i="3"/>
  <c r="C4" i="3"/>
  <c r="C5" i="3"/>
  <c r="C6" i="3"/>
  <c r="E6" i="3" s="1"/>
  <c r="F6" i="3" s="1"/>
  <c r="C7" i="3"/>
  <c r="E7" i="3" s="1"/>
  <c r="F7" i="3" s="1"/>
  <c r="E4" i="2"/>
  <c r="E5" i="2"/>
  <c r="E6" i="2"/>
  <c r="E7" i="2"/>
  <c r="E8" i="2"/>
  <c r="E9" i="2"/>
  <c r="E3" i="2"/>
  <c r="D3" i="2"/>
  <c r="D4" i="2"/>
  <c r="D5" i="2"/>
  <c r="D6" i="2"/>
  <c r="D7" i="2"/>
  <c r="D8" i="2"/>
  <c r="D9" i="2"/>
  <c r="E3" i="3" l="1"/>
  <c r="F3" i="3" s="1"/>
  <c r="E4" i="3"/>
  <c r="F4" i="3" s="1"/>
  <c r="F8" i="4"/>
  <c r="E5" i="3"/>
  <c r="F5" i="3" s="1"/>
  <c r="J14" i="5"/>
  <c r="J13" i="5"/>
  <c r="J12" i="5"/>
  <c r="J15" i="5"/>
  <c r="H3" i="1"/>
  <c r="I3" i="1" s="1"/>
  <c r="H4" i="1"/>
  <c r="H5" i="1"/>
  <c r="H6" i="1"/>
  <c r="H7" i="1"/>
  <c r="I7" i="1" s="1"/>
  <c r="H8" i="1"/>
  <c r="H9" i="1"/>
  <c r="H10" i="1"/>
  <c r="H11" i="1"/>
  <c r="H12" i="1"/>
  <c r="H2" i="1"/>
  <c r="G3" i="1"/>
  <c r="G4" i="1"/>
  <c r="G5" i="1"/>
  <c r="G6" i="1"/>
  <c r="G7" i="1"/>
  <c r="G8" i="1"/>
  <c r="G9" i="1"/>
  <c r="G10" i="1"/>
  <c r="G11" i="1"/>
  <c r="G12" i="1"/>
  <c r="G2" i="1"/>
  <c r="I10" i="1" l="1"/>
  <c r="I6" i="1"/>
  <c r="H16" i="1"/>
  <c r="I2" i="1"/>
  <c r="J2" i="1" s="1"/>
  <c r="I9" i="1"/>
  <c r="J9" i="1" s="1"/>
  <c r="I5" i="1"/>
  <c r="J5" i="1" s="1"/>
  <c r="I12" i="1"/>
  <c r="J12" i="1" s="1"/>
  <c r="I8" i="1"/>
  <c r="I4" i="1"/>
  <c r="J4" i="1" s="1"/>
  <c r="J7" i="1"/>
  <c r="J3" i="1"/>
  <c r="I11" i="1"/>
  <c r="J10" i="1"/>
  <c r="J6" i="1"/>
  <c r="G13" i="1"/>
  <c r="G14" i="1"/>
  <c r="G15" i="1"/>
  <c r="G16" i="1"/>
  <c r="J8" i="1"/>
  <c r="H13" i="1"/>
  <c r="H14" i="1"/>
  <c r="H15" i="1"/>
  <c r="I16" i="1" l="1"/>
  <c r="I13" i="1"/>
  <c r="I14" i="1"/>
  <c r="I15" i="1"/>
  <c r="J11" i="1"/>
  <c r="J15" i="1" s="1"/>
  <c r="J16" i="1" l="1"/>
  <c r="J13" i="1"/>
  <c r="J14" i="1"/>
</calcChain>
</file>

<file path=xl/sharedStrings.xml><?xml version="1.0" encoding="utf-8"?>
<sst xmlns="http://schemas.openxmlformats.org/spreadsheetml/2006/main" count="515" uniqueCount="352">
  <si>
    <t>STT</t>
  </si>
  <si>
    <t>Họ</t>
  </si>
  <si>
    <t>Tên</t>
  </si>
  <si>
    <t>Chức vụ</t>
  </si>
  <si>
    <t xml:space="preserve">Lương căn bản </t>
  </si>
  <si>
    <t xml:space="preserve">Ngày công </t>
  </si>
  <si>
    <t>Lê</t>
  </si>
  <si>
    <t>Nguyễn Viêt</t>
  </si>
  <si>
    <t>Trần Văn</t>
  </si>
  <si>
    <t>Lê Mai</t>
  </si>
  <si>
    <t>Lý Hoàng</t>
  </si>
  <si>
    <t>Phan</t>
  </si>
  <si>
    <t>Nguyễn Kim</t>
  </si>
  <si>
    <t>Nguyễn Nam</t>
  </si>
  <si>
    <t>Trần Minh</t>
  </si>
  <si>
    <t>Lê Bảo</t>
  </si>
  <si>
    <t>Nguyễn Vân</t>
  </si>
  <si>
    <t>Thành</t>
  </si>
  <si>
    <t>Mỹ</t>
  </si>
  <si>
    <t>Khang</t>
  </si>
  <si>
    <t>Dung</t>
  </si>
  <si>
    <t>Nam</t>
  </si>
  <si>
    <t>Tú</t>
  </si>
  <si>
    <t>Liên</t>
  </si>
  <si>
    <t>Trung</t>
  </si>
  <si>
    <t>Vy</t>
  </si>
  <si>
    <t>Hoàng</t>
  </si>
  <si>
    <t>Trang</t>
  </si>
  <si>
    <t>NV</t>
  </si>
  <si>
    <t>KT</t>
  </si>
  <si>
    <t>TP</t>
  </si>
  <si>
    <t>GĐ</t>
  </si>
  <si>
    <t>PGĐ</t>
  </si>
  <si>
    <t>Tổng cộng</t>
  </si>
  <si>
    <t>Trung bình</t>
  </si>
  <si>
    <t>Cao nhất</t>
  </si>
  <si>
    <t>Thấp nhât</t>
  </si>
  <si>
    <t>Phụ cấp chức vụ</t>
  </si>
  <si>
    <t>Lương</t>
  </si>
  <si>
    <t xml:space="preserve">Tạm ứng </t>
  </si>
  <si>
    <t>Còn lại</t>
  </si>
  <si>
    <t>Họ và tên</t>
  </si>
  <si>
    <t>ĐTB</t>
  </si>
  <si>
    <t xml:space="preserve">Xếp loại </t>
  </si>
  <si>
    <t>Hạng</t>
  </si>
  <si>
    <t>Nguyễn Bảo</t>
  </si>
  <si>
    <t>Lê Hồng</t>
  </si>
  <si>
    <t>Phạm Tuấn</t>
  </si>
  <si>
    <t>Cao Bích</t>
  </si>
  <si>
    <t>Lý Tuấn</t>
  </si>
  <si>
    <t>Phan Công</t>
  </si>
  <si>
    <t xml:space="preserve">Bảng </t>
  </si>
  <si>
    <t>Xếp Loại</t>
  </si>
  <si>
    <t>Yếu</t>
  </si>
  <si>
    <t>Trung Bình</t>
  </si>
  <si>
    <t>Khá</t>
  </si>
  <si>
    <t>Giỏi</t>
  </si>
  <si>
    <t>BẢNG THEO DÕI NHẬP XUẤT HÀNG</t>
  </si>
  <si>
    <t>Mã 
hàng</t>
  </si>
  <si>
    <t>Nhập</t>
  </si>
  <si>
    <t>Xuất</t>
  </si>
  <si>
    <t>Đơn giá</t>
  </si>
  <si>
    <t>Tiền</t>
  </si>
  <si>
    <t>Thuế</t>
  </si>
  <si>
    <t>A001Y</t>
  </si>
  <si>
    <t>B012N</t>
  </si>
  <si>
    <t>B003Y</t>
  </si>
  <si>
    <t>A011N</t>
  </si>
  <si>
    <t>B054Y</t>
  </si>
  <si>
    <t>Mã sản phẩm</t>
  </si>
  <si>
    <t>Tên sản phẩm</t>
  </si>
  <si>
    <t>Khuyến mãi</t>
  </si>
  <si>
    <t>Thành tiền</t>
  </si>
  <si>
    <t>BB575</t>
  </si>
  <si>
    <t>Bim bim</t>
  </si>
  <si>
    <t>K008</t>
  </si>
  <si>
    <t>TR231</t>
  </si>
  <si>
    <t>P602</t>
  </si>
  <si>
    <t>L407</t>
  </si>
  <si>
    <t>VM113</t>
  </si>
  <si>
    <t>Kẹo hoa quả</t>
  </si>
  <si>
    <t>Khẩu trang</t>
  </si>
  <si>
    <t>Pin con thỏ</t>
  </si>
  <si>
    <t>Bánh quy</t>
  </si>
  <si>
    <t>Dao cạo</t>
  </si>
  <si>
    <t>Lượng</t>
  </si>
  <si>
    <t>Tổng tiền</t>
  </si>
  <si>
    <t>Bảng kê sản phẩm</t>
  </si>
  <si>
    <t>Cty TNHH Đại Thái Bình Dương</t>
  </si>
  <si>
    <t>LƯƠNG</t>
  </si>
  <si>
    <t xml:space="preserve">TÊN </t>
  </si>
  <si>
    <t>Trần Thị</t>
  </si>
  <si>
    <t>Yến</t>
  </si>
  <si>
    <t>Nguyễn</t>
  </si>
  <si>
    <t>BV</t>
  </si>
  <si>
    <t>Đoàn</t>
  </si>
  <si>
    <t>An</t>
  </si>
  <si>
    <t>Thanh</t>
  </si>
  <si>
    <t>Hồ</t>
  </si>
  <si>
    <t>Kim</t>
  </si>
  <si>
    <t xml:space="preserve">Trần </t>
  </si>
  <si>
    <t>Thế</t>
  </si>
  <si>
    <t>Nguyễn Văn</t>
  </si>
  <si>
    <t>Sơn</t>
  </si>
  <si>
    <t xml:space="preserve">Lê </t>
  </si>
  <si>
    <t>Hồ Tấn</t>
  </si>
  <si>
    <t>Tài</t>
  </si>
  <si>
    <t>TỔNG CÔNG:</t>
  </si>
  <si>
    <t>TRUNG BÌNH:</t>
  </si>
  <si>
    <t>THẤP NHẤT:</t>
  </si>
  <si>
    <t>CAO NHẤT:</t>
  </si>
  <si>
    <t>Tháng:</t>
  </si>
  <si>
    <t>CHỨC 
VỤ</t>
  </si>
  <si>
    <t>LƯƠNG
CĂN 
BẢN</t>
  </si>
  <si>
    <t xml:space="preserve">NGÀY 
CÔNG </t>
  </si>
  <si>
    <t>PHỤ 
CẤP 
CHỨC 
VỤ</t>
  </si>
  <si>
    <t>TẠM 
ỨNG</t>
  </si>
  <si>
    <t>CÒN 
LẠI</t>
  </si>
  <si>
    <t>BẢNG KÊ HÀNG NHẬP KHO</t>
  </si>
  <si>
    <t>TÊN HÀNG</t>
  </si>
  <si>
    <t>SỐ LƯỢNG</t>
  </si>
  <si>
    <t>ĐƠN GIÁ</t>
  </si>
  <si>
    <t>TIỀN CHIẾT KHẤU</t>
  </si>
  <si>
    <t>THÀNH TIỀN</t>
  </si>
  <si>
    <t>ML01</t>
  </si>
  <si>
    <t>ML02</t>
  </si>
  <si>
    <t>ML03</t>
  </si>
  <si>
    <t>ML04</t>
  </si>
  <si>
    <t>ML05</t>
  </si>
  <si>
    <t>TV01</t>
  </si>
  <si>
    <t>TV02</t>
  </si>
  <si>
    <t>Máy lạnh SANYO</t>
  </si>
  <si>
    <t>Máy lạnh HITACHI</t>
  </si>
  <si>
    <t>Máy lạnh NATIONAL</t>
  </si>
  <si>
    <t>Máy giặt HITACHI</t>
  </si>
  <si>
    <t>Máy giặt NATIONAL</t>
  </si>
  <si>
    <t>Tivi LG</t>
  </si>
  <si>
    <t>Tivi SONY</t>
  </si>
  <si>
    <t>Tủ lạnh HITACHI</t>
  </si>
  <si>
    <t>MÃ
HÀNG</t>
  </si>
  <si>
    <t>TỔNG CỘNG</t>
  </si>
  <si>
    <t>Mã
hàng</t>
  </si>
  <si>
    <t xml:space="preserve">Tiền </t>
  </si>
  <si>
    <t xml:space="preserve">DANH SÁCH THI TUYỂN </t>
  </si>
  <si>
    <t>TÊN THÍ SINH</t>
  </si>
  <si>
    <t>NHẬP ĐIỂM</t>
  </si>
  <si>
    <t>XẾP
LOẠI</t>
  </si>
  <si>
    <t>LÝ 
THUYẾT</t>
  </si>
  <si>
    <t>THỰC 
HÀNH</t>
  </si>
  <si>
    <t>LT</t>
  </si>
  <si>
    <t>TH</t>
  </si>
  <si>
    <t>Nguyễn Thái Nga</t>
  </si>
  <si>
    <t>Trương Ngọc Lan</t>
  </si>
  <si>
    <t xml:space="preserve">Lý Cẩm Nhi </t>
  </si>
  <si>
    <t xml:space="preserve">Lưu Thùy Chi </t>
  </si>
  <si>
    <t>Trần Thị Bích Tuyền</t>
  </si>
  <si>
    <t>BẢNG XẾP HẠNG</t>
  </si>
  <si>
    <t>Rớt</t>
  </si>
  <si>
    <t>Điểm</t>
  </si>
  <si>
    <t>Xếp loại</t>
  </si>
  <si>
    <t>BẢNG TÍNH TIỀN NHẬP HÀNG</t>
  </si>
  <si>
    <t>Tên
hàng</t>
  </si>
  <si>
    <t>Loại
hàng</t>
  </si>
  <si>
    <t>Số
lượng</t>
  </si>
  <si>
    <t>Giá</t>
  </si>
  <si>
    <t>Trị
giá</t>
  </si>
  <si>
    <t>Phí
vận chuyển</t>
  </si>
  <si>
    <t>Radio</t>
  </si>
  <si>
    <t>Casette</t>
  </si>
  <si>
    <t>Máy lạnh</t>
  </si>
  <si>
    <t>Tủ lạnh</t>
  </si>
  <si>
    <t>Đầu máy</t>
  </si>
  <si>
    <t>Tivi</t>
  </si>
  <si>
    <t>A</t>
  </si>
  <si>
    <t>B</t>
  </si>
  <si>
    <t>C</t>
  </si>
  <si>
    <t>D</t>
  </si>
  <si>
    <t>BẢNG TÍNH TIỀN ĐIỆN</t>
  </si>
  <si>
    <t>LOẠI
SD</t>
  </si>
  <si>
    <t>CHỈ SỐ 
ĐẦU</t>
  </si>
  <si>
    <t>CHỈ SỐ 
CUỐI</t>
  </si>
  <si>
    <t>HỆ SỐ</t>
  </si>
  <si>
    <t>THÀNH
TIỀN</t>
  </si>
  <si>
    <t>PHỤ 
TRỘI</t>
  </si>
  <si>
    <t>CỘNG</t>
  </si>
  <si>
    <t>KD</t>
  </si>
  <si>
    <t>NN</t>
  </si>
  <si>
    <t>CN</t>
  </si>
  <si>
    <t>TT</t>
  </si>
  <si>
    <t>MÃ SP</t>
  </si>
  <si>
    <t>TÊN
SP</t>
  </si>
  <si>
    <t>LƯỢNG</t>
  </si>
  <si>
    <t>KHUYẾN
MÃI</t>
  </si>
  <si>
    <t>XB01</t>
  </si>
  <si>
    <t>S001</t>
  </si>
  <si>
    <t>T001</t>
  </si>
  <si>
    <t>T002</t>
  </si>
  <si>
    <t>Xà bông LifeBoy</t>
  </si>
  <si>
    <t>SẢN PHẨM</t>
  </si>
  <si>
    <t>Nước</t>
  </si>
  <si>
    <t>Súp Knor</t>
  </si>
  <si>
    <t>Thực phẩm</t>
  </si>
  <si>
    <t>PHIẾU GIAO NHẬN</t>
  </si>
  <si>
    <t>BẢNG CHI PHÍ VẬN CHUYỂN</t>
  </si>
  <si>
    <t>Tỷ giá USD:</t>
  </si>
  <si>
    <t>CHỦ
HÀNG</t>
  </si>
  <si>
    <t>LOẠI
HÀNG</t>
  </si>
  <si>
    <t>ĐỊNH
MỨC</t>
  </si>
  <si>
    <t>TRỌNG
LƯỢNG</t>
  </si>
  <si>
    <t>GIÁ
CƯỚC</t>
  </si>
  <si>
    <t>TIỀN
PHẠT</t>
  </si>
  <si>
    <t>THÀNH
TIỀN
(VN)</t>
  </si>
  <si>
    <t>Cty E</t>
  </si>
  <si>
    <t>DNTN D</t>
  </si>
  <si>
    <t>Cty G</t>
  </si>
  <si>
    <t>Tổ hợp C</t>
  </si>
  <si>
    <t>Cty A</t>
  </si>
  <si>
    <t>XN B</t>
  </si>
  <si>
    <t>XN F</t>
  </si>
  <si>
    <t>BẢNG ĐỊNH MỨC VÀ 
GIÁ CƯỚC</t>
  </si>
  <si>
    <t>BẢNG KẾT QUẢ TUYỂN SINH</t>
  </si>
  <si>
    <t>SỐ
TT</t>
  </si>
  <si>
    <t>HỌ VÀ TÊN</t>
  </si>
  <si>
    <t>MÃ SỐ 
NGÀNH-
ƯU TIÊN</t>
  </si>
  <si>
    <t>TÊN 
NGÀNH</t>
  </si>
  <si>
    <t>TOÁN</t>
  </si>
  <si>
    <t>LÝ</t>
  </si>
  <si>
    <t>CỘNG ĐIỂM</t>
  </si>
  <si>
    <t>ĐIỂM
ƯU
TIÊN</t>
  </si>
  <si>
    <t>TỔNG
CỘNG</t>
  </si>
  <si>
    <t>KẾT QUẢ</t>
  </si>
  <si>
    <t>Lê Văn Bình</t>
  </si>
  <si>
    <t>Trần Thị Cơ</t>
  </si>
  <si>
    <t>Lý Thị Loan</t>
  </si>
  <si>
    <t>Trần Hoàng Thái</t>
  </si>
  <si>
    <t>A1</t>
  </si>
  <si>
    <t>B3</t>
  </si>
  <si>
    <t>C2</t>
  </si>
  <si>
    <t>C4</t>
  </si>
  <si>
    <t>NGÀNH
HỌC</t>
  </si>
  <si>
    <t>Mã ngành</t>
  </si>
  <si>
    <t>Tên ngành</t>
  </si>
  <si>
    <t>Tin học</t>
  </si>
  <si>
    <t>Lý</t>
  </si>
  <si>
    <t>Hóa</t>
  </si>
  <si>
    <t>ĐIỂM ƯU TIÊN</t>
  </si>
  <si>
    <t>Mã
ưu tiên</t>
  </si>
  <si>
    <t>BÁO CÁO BÁN HÀNG</t>
  </si>
  <si>
    <t>MÃ MH</t>
  </si>
  <si>
    <t>MẶT HÀNG</t>
  </si>
  <si>
    <t>PHÍ
CHUYỂN 
CHỞ</t>
  </si>
  <si>
    <t>HD1</t>
  </si>
  <si>
    <t>FD1</t>
  </si>
  <si>
    <t>MS1</t>
  </si>
  <si>
    <t>SD1</t>
  </si>
  <si>
    <t>DD1</t>
  </si>
  <si>
    <t>HD2</t>
  </si>
  <si>
    <t>MS2</t>
  </si>
  <si>
    <t>DD2</t>
  </si>
  <si>
    <t>HD</t>
  </si>
  <si>
    <t>FD</t>
  </si>
  <si>
    <t>MS</t>
  </si>
  <si>
    <t>SD</t>
  </si>
  <si>
    <t>DD</t>
  </si>
  <si>
    <t>BẢNG THỐNG KÊ</t>
  </si>
  <si>
    <t>Số lượng đã bán:</t>
  </si>
  <si>
    <t>Đĩa cứng</t>
  </si>
  <si>
    <t>Đĩa mềm</t>
  </si>
  <si>
    <t>Mouse</t>
  </si>
  <si>
    <t>SD Ram</t>
  </si>
  <si>
    <t>DD Ram</t>
  </si>
  <si>
    <t>BẢNG KÊ CHI TIẾT ĐẠI LÝ BƯU ĐIỆN TRONG NGÀY</t>
  </si>
  <si>
    <t>NGÀY</t>
  </si>
  <si>
    <t>BẮT ĐẦU</t>
  </si>
  <si>
    <t>KẾT THÚC</t>
  </si>
  <si>
    <t>SỐ GIỜ</t>
  </si>
  <si>
    <t>SỐ PHÚT</t>
  </si>
  <si>
    <t>TỈNH</t>
  </si>
  <si>
    <t>TIỀN</t>
  </si>
  <si>
    <t>13/10</t>
  </si>
  <si>
    <t>17/10</t>
  </si>
  <si>
    <t>18/10</t>
  </si>
  <si>
    <t>19/10</t>
  </si>
  <si>
    <t>Tỉnh</t>
  </si>
  <si>
    <t>AGG</t>
  </si>
  <si>
    <t>DTP</t>
  </si>
  <si>
    <t>HNI</t>
  </si>
  <si>
    <t>Số cuộc gọi từng tỉnh:</t>
  </si>
  <si>
    <t>AG</t>
  </si>
  <si>
    <t>BD</t>
  </si>
  <si>
    <t>BDG</t>
  </si>
  <si>
    <t>Bảng 1 - BẢNG ĐIỂM CHUẨN</t>
  </si>
  <si>
    <t>Mã
ngành</t>
  </si>
  <si>
    <t>Ngành
thi</t>
  </si>
  <si>
    <t>Điểm
chuẩn 1</t>
  </si>
  <si>
    <t>Điểm
chuẩn</t>
  </si>
  <si>
    <t>Điểm
chuẩn 2</t>
  </si>
  <si>
    <t>Bảng 2 - BẢNG ĐIỂM HỌC BỔNG</t>
  </si>
  <si>
    <t>Điểm HB</t>
  </si>
  <si>
    <t>Máy tính</t>
  </si>
  <si>
    <t>Điện tử</t>
  </si>
  <si>
    <t>Cơ khí</t>
  </si>
  <si>
    <t>KẾT QUẢ TUYỂN SINH 2005</t>
  </si>
  <si>
    <t>Mạnh</t>
  </si>
  <si>
    <t>Tùng</t>
  </si>
  <si>
    <t>Nga</t>
  </si>
  <si>
    <t>Hoa</t>
  </si>
  <si>
    <t>Uyên</t>
  </si>
  <si>
    <t>Hùng</t>
  </si>
  <si>
    <t xml:space="preserve">Lý </t>
  </si>
  <si>
    <t xml:space="preserve">Lâm </t>
  </si>
  <si>
    <t xml:space="preserve">Nguyễn </t>
  </si>
  <si>
    <t xml:space="preserve">Kiều </t>
  </si>
  <si>
    <t xml:space="preserve">Phạm </t>
  </si>
  <si>
    <t>Mã
số</t>
  </si>
  <si>
    <t>Khu vực</t>
  </si>
  <si>
    <t>Toán</t>
  </si>
  <si>
    <t>Kết 
quả</t>
  </si>
  <si>
    <t>Điểm
HB</t>
  </si>
  <si>
    <t>HB</t>
  </si>
  <si>
    <t>Tổng
chuẩn</t>
  </si>
  <si>
    <t>C203</t>
  </si>
  <si>
    <t>A208</t>
  </si>
  <si>
    <t>A205</t>
  </si>
  <si>
    <t>A101</t>
  </si>
  <si>
    <t>B102</t>
  </si>
  <si>
    <t>D107</t>
  </si>
  <si>
    <t>D204</t>
  </si>
  <si>
    <t>C106</t>
  </si>
  <si>
    <t>Số thí sinh
đậu</t>
  </si>
  <si>
    <t>Số thí sinh
rớt</t>
  </si>
  <si>
    <t>Số TS
có học bổng</t>
  </si>
  <si>
    <t>A*</t>
  </si>
  <si>
    <t>BẢNG THÔNG TIN RÚT TRÍCH CỦA CÁC THÍ SINH DỰ THI KHỐI A</t>
  </si>
  <si>
    <t>THEO DÕI BÁN HÀNG</t>
  </si>
  <si>
    <t>TÊN
HÀNG</t>
  </si>
  <si>
    <t>NGÀY BÁN</t>
  </si>
  <si>
    <t>SỐ
LƯỢNG</t>
  </si>
  <si>
    <t>ĐƠN
GIÁ</t>
  </si>
  <si>
    <t>TIỀN
GIẢM</t>
  </si>
  <si>
    <t>F</t>
  </si>
  <si>
    <t>X</t>
  </si>
  <si>
    <t>BẢNG ĐƠN GIÁ</t>
  </si>
  <si>
    <t>MÃ HÀNG</t>
  </si>
  <si>
    <t>ĐƠN GIÁ
(đồng/1kg)</t>
  </si>
  <si>
    <t xml:space="preserve">Sắt </t>
  </si>
  <si>
    <t>Nhôm</t>
  </si>
  <si>
    <t>Đồng</t>
  </si>
  <si>
    <t>Xi măng</t>
  </si>
  <si>
    <t>BẢNG THỐNG KÊ THÁNG</t>
  </si>
  <si>
    <t>THÁNG</t>
  </si>
  <si>
    <t>DOANH 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</si>
</sst>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\ &quot;VND&quot;"/>
    <numFmt numFmtId="165" formatCode="0.0"/>
    <numFmt numFmtId="166" formatCode="h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Times New Roman"/>
      <family val="1"/>
      <charset val="163"/>
    </font>
    <font>
      <sz val="12"/>
      <color theme="1"/>
      <name val="Times New Roman"/>
      <family val="1"/>
      <charset val="163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8"/>
      <color rgb="FF00008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2" borderId="6" xfId="0" applyFill="1" applyBorder="1"/>
    <xf numFmtId="0" fontId="0" fillId="2" borderId="4" xfId="0" applyFill="1" applyBorder="1"/>
    <xf numFmtId="0" fontId="0" fillId="2" borderId="3" xfId="0" applyFill="1" applyBorder="1"/>
    <xf numFmtId="0" fontId="0" fillId="3" borderId="1" xfId="0" applyFill="1" applyBorder="1"/>
    <xf numFmtId="0" fontId="0" fillId="3" borderId="5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6" borderId="0" xfId="0" applyFill="1"/>
    <xf numFmtId="0" fontId="0" fillId="7" borderId="0" xfId="0" applyFill="1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1" xfId="0" applyFont="1" applyBorder="1" applyAlignment="1">
      <alignment horizontal="center" textRotation="255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0" xfId="0" applyFont="1" applyBorder="1"/>
    <xf numFmtId="0" fontId="1" fillId="0" borderId="6" xfId="0" applyFont="1" applyBorder="1"/>
    <xf numFmtId="0" fontId="1" fillId="0" borderId="4" xfId="0" applyFont="1" applyBorder="1"/>
    <xf numFmtId="3" fontId="1" fillId="0" borderId="1" xfId="0" applyNumberFormat="1" applyFont="1" applyBorder="1"/>
    <xf numFmtId="3" fontId="1" fillId="0" borderId="7" xfId="0" applyNumberFormat="1" applyFont="1" applyBorder="1"/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/>
    <xf numFmtId="0" fontId="0" fillId="0" borderId="1" xfId="0" applyBorder="1" applyAlignment="1">
      <alignment horizontal="right"/>
    </xf>
    <xf numFmtId="1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/>
    <xf numFmtId="164" fontId="1" fillId="0" borderId="1" xfId="0" applyNumberFormat="1" applyFont="1" applyBorder="1"/>
    <xf numFmtId="0" fontId="1" fillId="0" borderId="14" xfId="0" applyFont="1" applyBorder="1"/>
    <xf numFmtId="164" fontId="1" fillId="0" borderId="14" xfId="0" applyNumberFormat="1" applyFont="1" applyBorder="1"/>
    <xf numFmtId="0" fontId="0" fillId="8" borderId="16" xfId="0" applyFill="1" applyBorder="1" applyAlignment="1">
      <alignment horizontal="center" wrapText="1"/>
    </xf>
    <xf numFmtId="0" fontId="0" fillId="8" borderId="10" xfId="0" applyFill="1" applyBorder="1" applyAlignment="1">
      <alignment horizontal="center" wrapText="1"/>
    </xf>
    <xf numFmtId="164" fontId="1" fillId="0" borderId="12" xfId="0" applyNumberFormat="1" applyFont="1" applyBorder="1"/>
    <xf numFmtId="164" fontId="1" fillId="0" borderId="15" xfId="0" applyNumberFormat="1" applyFont="1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/>
    <xf numFmtId="0" fontId="1" fillId="0" borderId="15" xfId="0" applyFont="1" applyBorder="1"/>
    <xf numFmtId="0" fontId="0" fillId="0" borderId="1" xfId="0" applyBorder="1" applyAlignment="1">
      <alignment vertical="top"/>
    </xf>
    <xf numFmtId="0" fontId="1" fillId="0" borderId="1" xfId="0" applyFont="1" applyBorder="1" applyAlignment="1">
      <alignment wrapText="1"/>
    </xf>
    <xf numFmtId="0" fontId="4" fillId="0" borderId="0" xfId="0" applyFont="1" applyFill="1"/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/>
    <xf numFmtId="0" fontId="1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7" fillId="0" borderId="0" xfId="0" applyFont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/>
    <xf numFmtId="0" fontId="6" fillId="0" borderId="1" xfId="0" applyFont="1" applyBorder="1"/>
    <xf numFmtId="165" fontId="7" fillId="0" borderId="1" xfId="0" applyNumberFormat="1" applyFont="1" applyBorder="1"/>
    <xf numFmtId="0" fontId="8" fillId="0" borderId="1" xfId="0" applyFont="1" applyFill="1" applyBorder="1"/>
    <xf numFmtId="0" fontId="8" fillId="0" borderId="12" xfId="0" applyFont="1" applyFill="1" applyBorder="1"/>
    <xf numFmtId="0" fontId="8" fillId="0" borderId="14" xfId="0" applyFont="1" applyFill="1" applyBorder="1"/>
    <xf numFmtId="0" fontId="8" fillId="0" borderId="15" xfId="0" applyFont="1" applyFill="1" applyBorder="1"/>
    <xf numFmtId="0" fontId="1" fillId="0" borderId="8" xfId="0" applyFont="1" applyBorder="1" applyAlignment="1">
      <alignment horizontal="center" vertical="center"/>
    </xf>
    <xf numFmtId="1" fontId="0" fillId="0" borderId="12" xfId="0" applyNumberFormat="1" applyBorder="1"/>
    <xf numFmtId="1" fontId="0" fillId="0" borderId="15" xfId="0" applyNumberFormat="1" applyBorder="1"/>
    <xf numFmtId="0" fontId="1" fillId="0" borderId="13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0" fillId="0" borderId="12" xfId="0" applyBorder="1"/>
    <xf numFmtId="0" fontId="0" fillId="0" borderId="15" xfId="0" applyBorder="1"/>
    <xf numFmtId="21" fontId="0" fillId="0" borderId="1" xfId="0" applyNumberFormat="1" applyBorder="1"/>
    <xf numFmtId="2" fontId="0" fillId="0" borderId="1" xfId="0" applyNumberFormat="1" applyBorder="1"/>
    <xf numFmtId="166" fontId="0" fillId="0" borderId="1" xfId="0" applyNumberFormat="1" applyBorder="1" applyAlignment="1">
      <alignment horizontal="center"/>
    </xf>
    <xf numFmtId="0" fontId="0" fillId="0" borderId="16" xfId="0" applyBorder="1"/>
    <xf numFmtId="0" fontId="3" fillId="0" borderId="1" xfId="0" applyFont="1" applyFill="1" applyBorder="1"/>
    <xf numFmtId="0" fontId="0" fillId="0" borderId="0" xfId="0" applyAlignment="1">
      <alignment vertical="center"/>
    </xf>
    <xf numFmtId="1" fontId="0" fillId="0" borderId="0" xfId="0" applyNumberFormat="1"/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1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Thống kê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D8-4E25-AD15-742F7D1E4D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D8-4E25-AD15-742F7D1E4DD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DD8-4E25-AD15-742F7D1E4D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'Bai16'!$D$22:$F$22</c:f>
              <c:strCache>
                <c:ptCount val="3"/>
                <c:pt idx="0">
                  <c:v>Số thí sinh
đậu</c:v>
                </c:pt>
                <c:pt idx="1">
                  <c:v>Số thí sinh
rớt</c:v>
                </c:pt>
                <c:pt idx="2">
                  <c:v>Số TS
có học bổng</c:v>
                </c:pt>
              </c:strCache>
            </c:strRef>
          </c:cat>
          <c:val>
            <c:numRef>
              <c:f>'Bai16'!$D$23:$F$23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D-4727-A070-6095FE96312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3"/>
    </a:solidFill>
    <a:ln w="12700" cap="flat" cmpd="sng" algn="ctr">
      <a:solidFill>
        <a:schemeClr val="accent3">
          <a:shade val="50000"/>
        </a:schemeClr>
      </a:solidFill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590549</xdr:colOff>
      <xdr:row>17</xdr:row>
      <xdr:rowOff>171450</xdr:rowOff>
    </xdr:from>
    <xdr:to>
      <xdr:col>21</xdr:col>
      <xdr:colOff>228600</xdr:colOff>
      <xdr:row>27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showGridLines="0" workbookViewId="0">
      <selection activeCell="J16" sqref="A1:J16"/>
    </sheetView>
  </sheetViews>
  <sheetFormatPr defaultRowHeight="15" x14ac:dyDescent="0.25"/>
  <cols>
    <col min="1" max="1" width="4" bestFit="1" customWidth="1"/>
    <col min="2" max="2" width="12.42578125" bestFit="1" customWidth="1"/>
    <col min="3" max="3" width="6.5703125" bestFit="1" customWidth="1"/>
    <col min="4" max="4" width="8" bestFit="1" customWidth="1"/>
    <col min="5" max="5" width="14.28515625" bestFit="1" customWidth="1"/>
    <col min="6" max="6" width="10.42578125" bestFit="1" customWidth="1"/>
    <col min="7" max="7" width="15.140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9" t="s">
        <v>5</v>
      </c>
      <c r="G1" s="10" t="s">
        <v>37</v>
      </c>
      <c r="H1" s="11" t="s">
        <v>38</v>
      </c>
      <c r="I1" s="11" t="s">
        <v>39</v>
      </c>
      <c r="J1" s="12" t="s">
        <v>40</v>
      </c>
    </row>
    <row r="2" spans="1:10" x14ac:dyDescent="0.25">
      <c r="A2" s="1">
        <v>1</v>
      </c>
      <c r="B2" s="1" t="s">
        <v>6</v>
      </c>
      <c r="C2" s="1" t="s">
        <v>17</v>
      </c>
      <c r="D2" s="1" t="s">
        <v>28</v>
      </c>
      <c r="E2" s="1">
        <v>3000</v>
      </c>
      <c r="F2" s="1">
        <v>30</v>
      </c>
      <c r="G2" s="2">
        <f>IF(D2="NV",100,IF(D2="KT",150,IF(D2="TP",300,IF(D2="PGĐ",350,500))))</f>
        <v>100</v>
      </c>
      <c r="H2" s="2">
        <f>E2*F2</f>
        <v>90000</v>
      </c>
      <c r="I2" s="2">
        <f>ROUND(IF((G2+H2)*2/3&lt;70000,(G2+H2)*2/3,70000),0)</f>
        <v>60067</v>
      </c>
      <c r="J2" s="4">
        <f>G2+H2-I2</f>
        <v>30033</v>
      </c>
    </row>
    <row r="3" spans="1:10" x14ac:dyDescent="0.25">
      <c r="A3" s="1">
        <v>2</v>
      </c>
      <c r="B3" s="1" t="s">
        <v>7</v>
      </c>
      <c r="C3" s="1" t="s">
        <v>18</v>
      </c>
      <c r="D3" s="1" t="s">
        <v>28</v>
      </c>
      <c r="E3" s="1">
        <v>3000</v>
      </c>
      <c r="F3" s="1">
        <v>27</v>
      </c>
      <c r="G3" s="2">
        <f t="shared" ref="G3:G12" si="0">IF(D3="NV",100,IF(D3="KT",150,IF(D3="TP",300,IF(D3="PGĐ",350,500))))</f>
        <v>100</v>
      </c>
      <c r="H3" s="2">
        <f t="shared" ref="H3:H12" si="1">E3*F3</f>
        <v>81000</v>
      </c>
      <c r="I3" s="2">
        <f t="shared" ref="I3:I12" si="2">ROUND(IF((G3+H3)*2/3&lt;70000,(G3+H3)*2/3,70000),0)</f>
        <v>54067</v>
      </c>
      <c r="J3" s="4">
        <f t="shared" ref="J3:J12" si="3">G3+H3-I3</f>
        <v>27033</v>
      </c>
    </row>
    <row r="4" spans="1:10" x14ac:dyDescent="0.25">
      <c r="A4" s="1">
        <v>3</v>
      </c>
      <c r="B4" s="1" t="s">
        <v>8</v>
      </c>
      <c r="C4" s="1" t="s">
        <v>19</v>
      </c>
      <c r="D4" s="1" t="s">
        <v>29</v>
      </c>
      <c r="E4" s="1">
        <v>4000</v>
      </c>
      <c r="F4" s="1">
        <v>30</v>
      </c>
      <c r="G4" s="2">
        <f t="shared" si="0"/>
        <v>150</v>
      </c>
      <c r="H4" s="2">
        <f t="shared" si="1"/>
        <v>120000</v>
      </c>
      <c r="I4" s="2">
        <f t="shared" si="2"/>
        <v>70000</v>
      </c>
      <c r="J4" s="4">
        <f t="shared" si="3"/>
        <v>50150</v>
      </c>
    </row>
    <row r="5" spans="1:10" x14ac:dyDescent="0.25">
      <c r="A5" s="1">
        <v>4</v>
      </c>
      <c r="B5" s="1" t="s">
        <v>9</v>
      </c>
      <c r="C5" s="1" t="s">
        <v>20</v>
      </c>
      <c r="D5" s="1" t="s">
        <v>28</v>
      </c>
      <c r="E5" s="1">
        <v>3000</v>
      </c>
      <c r="F5" s="1">
        <v>30</v>
      </c>
      <c r="G5" s="2">
        <f t="shared" si="0"/>
        <v>100</v>
      </c>
      <c r="H5" s="2">
        <f t="shared" si="1"/>
        <v>90000</v>
      </c>
      <c r="I5" s="2">
        <f t="shared" si="2"/>
        <v>60067</v>
      </c>
      <c r="J5" s="4">
        <f t="shared" si="3"/>
        <v>30033</v>
      </c>
    </row>
    <row r="6" spans="1:10" x14ac:dyDescent="0.25">
      <c r="A6" s="1">
        <v>5</v>
      </c>
      <c r="B6" s="1" t="s">
        <v>10</v>
      </c>
      <c r="C6" s="1" t="s">
        <v>21</v>
      </c>
      <c r="D6" s="1" t="s">
        <v>30</v>
      </c>
      <c r="E6" s="1">
        <v>6000</v>
      </c>
      <c r="F6" s="1">
        <v>29</v>
      </c>
      <c r="G6" s="2">
        <f t="shared" si="0"/>
        <v>300</v>
      </c>
      <c r="H6" s="2">
        <f t="shared" si="1"/>
        <v>174000</v>
      </c>
      <c r="I6" s="2">
        <f t="shared" si="2"/>
        <v>70000</v>
      </c>
      <c r="J6" s="4">
        <f t="shared" si="3"/>
        <v>104300</v>
      </c>
    </row>
    <row r="7" spans="1:10" x14ac:dyDescent="0.25">
      <c r="A7" s="1">
        <v>6</v>
      </c>
      <c r="B7" s="1" t="s">
        <v>11</v>
      </c>
      <c r="C7" s="1" t="s">
        <v>22</v>
      </c>
      <c r="D7" s="1" t="s">
        <v>28</v>
      </c>
      <c r="E7" s="1">
        <v>3000</v>
      </c>
      <c r="F7" s="1">
        <v>28</v>
      </c>
      <c r="G7" s="2">
        <f t="shared" si="0"/>
        <v>100</v>
      </c>
      <c r="H7" s="2">
        <f t="shared" si="1"/>
        <v>84000</v>
      </c>
      <c r="I7" s="2">
        <f t="shared" si="2"/>
        <v>56067</v>
      </c>
      <c r="J7" s="4">
        <f t="shared" si="3"/>
        <v>28033</v>
      </c>
    </row>
    <row r="8" spans="1:10" x14ac:dyDescent="0.25">
      <c r="A8" s="1">
        <v>7</v>
      </c>
      <c r="B8" s="1" t="s">
        <v>12</v>
      </c>
      <c r="C8" s="1" t="s">
        <v>23</v>
      </c>
      <c r="D8" s="1" t="s">
        <v>28</v>
      </c>
      <c r="E8" s="1">
        <v>3000</v>
      </c>
      <c r="F8" s="1">
        <v>22</v>
      </c>
      <c r="G8" s="2">
        <f t="shared" si="0"/>
        <v>100</v>
      </c>
      <c r="H8" s="2">
        <f t="shared" si="1"/>
        <v>66000</v>
      </c>
      <c r="I8" s="2">
        <f t="shared" si="2"/>
        <v>44067</v>
      </c>
      <c r="J8" s="4">
        <f t="shared" si="3"/>
        <v>22033</v>
      </c>
    </row>
    <row r="9" spans="1:10" x14ac:dyDescent="0.25">
      <c r="A9" s="1">
        <v>8</v>
      </c>
      <c r="B9" s="1" t="s">
        <v>13</v>
      </c>
      <c r="C9" s="1" t="s">
        <v>24</v>
      </c>
      <c r="D9" s="1" t="s">
        <v>31</v>
      </c>
      <c r="E9" s="1">
        <v>12000</v>
      </c>
      <c r="F9" s="1">
        <v>30</v>
      </c>
      <c r="G9" s="2">
        <f t="shared" si="0"/>
        <v>500</v>
      </c>
      <c r="H9" s="2">
        <f t="shared" si="1"/>
        <v>360000</v>
      </c>
      <c r="I9" s="2">
        <f t="shared" si="2"/>
        <v>70000</v>
      </c>
      <c r="J9" s="4">
        <f t="shared" si="3"/>
        <v>290500</v>
      </c>
    </row>
    <row r="10" spans="1:10" x14ac:dyDescent="0.25">
      <c r="A10" s="1">
        <v>9</v>
      </c>
      <c r="B10" s="1" t="s">
        <v>14</v>
      </c>
      <c r="C10" s="1" t="s">
        <v>25</v>
      </c>
      <c r="D10" s="1" t="s">
        <v>32</v>
      </c>
      <c r="E10" s="1">
        <v>10000</v>
      </c>
      <c r="F10" s="1">
        <v>28</v>
      </c>
      <c r="G10" s="2">
        <f t="shared" si="0"/>
        <v>350</v>
      </c>
      <c r="H10" s="2">
        <f t="shared" si="1"/>
        <v>280000</v>
      </c>
      <c r="I10" s="2">
        <f t="shared" si="2"/>
        <v>70000</v>
      </c>
      <c r="J10" s="4">
        <f t="shared" si="3"/>
        <v>210350</v>
      </c>
    </row>
    <row r="11" spans="1:10" x14ac:dyDescent="0.25">
      <c r="A11" s="1">
        <v>10</v>
      </c>
      <c r="B11" s="1" t="s">
        <v>15</v>
      </c>
      <c r="C11" s="1" t="s">
        <v>26</v>
      </c>
      <c r="D11" s="1" t="s">
        <v>30</v>
      </c>
      <c r="E11" s="1">
        <v>6000</v>
      </c>
      <c r="F11" s="1">
        <v>30</v>
      </c>
      <c r="G11" s="2">
        <f t="shared" si="0"/>
        <v>300</v>
      </c>
      <c r="H11" s="2">
        <f t="shared" si="1"/>
        <v>180000</v>
      </c>
      <c r="I11" s="2">
        <f t="shared" si="2"/>
        <v>70000</v>
      </c>
      <c r="J11" s="4">
        <f t="shared" si="3"/>
        <v>110300</v>
      </c>
    </row>
    <row r="12" spans="1:10" x14ac:dyDescent="0.25">
      <c r="A12" s="1">
        <v>11</v>
      </c>
      <c r="B12" s="1" t="s">
        <v>16</v>
      </c>
      <c r="C12" s="1" t="s">
        <v>27</v>
      </c>
      <c r="D12" s="1" t="s">
        <v>29</v>
      </c>
      <c r="E12" s="1">
        <v>4000</v>
      </c>
      <c r="F12" s="1">
        <v>27</v>
      </c>
      <c r="G12" s="3">
        <f t="shared" si="0"/>
        <v>150</v>
      </c>
      <c r="H12" s="3">
        <f t="shared" si="1"/>
        <v>108000</v>
      </c>
      <c r="I12" s="3">
        <f t="shared" si="2"/>
        <v>70000</v>
      </c>
      <c r="J12" s="5">
        <f t="shared" si="3"/>
        <v>38150</v>
      </c>
    </row>
    <row r="13" spans="1:10" x14ac:dyDescent="0.25">
      <c r="A13" s="1"/>
      <c r="B13" s="1"/>
      <c r="C13" s="1"/>
      <c r="D13" s="1"/>
      <c r="E13" s="1"/>
      <c r="F13" s="6" t="s">
        <v>33</v>
      </c>
      <c r="G13" s="2">
        <f>SUM(G2:G12)</f>
        <v>2250</v>
      </c>
      <c r="H13" s="2">
        <f>SUM(H2:H12)</f>
        <v>1633000</v>
      </c>
      <c r="I13" s="2">
        <f>SUM(I2:I12)</f>
        <v>694335</v>
      </c>
      <c r="J13" s="4">
        <f>SUM(J2:J12)</f>
        <v>940915</v>
      </c>
    </row>
    <row r="14" spans="1:10" x14ac:dyDescent="0.25">
      <c r="A14" s="1"/>
      <c r="B14" s="1"/>
      <c r="C14" s="1"/>
      <c r="D14" s="1"/>
      <c r="E14" s="1"/>
      <c r="F14" s="7" t="s">
        <v>34</v>
      </c>
      <c r="G14" s="2">
        <f>AVERAGE(G2:G12)</f>
        <v>204.54545454545453</v>
      </c>
      <c r="H14" s="2">
        <f>AVERAGE(H2:H12)</f>
        <v>148454.54545454544</v>
      </c>
      <c r="I14" s="2">
        <f>AVERAGE(I2:I12)</f>
        <v>63121.36363636364</v>
      </c>
      <c r="J14" s="4">
        <f>AVERAGE(J2:J12)</f>
        <v>85537.727272727279</v>
      </c>
    </row>
    <row r="15" spans="1:10" x14ac:dyDescent="0.25">
      <c r="A15" s="1"/>
      <c r="B15" s="1"/>
      <c r="C15" s="1"/>
      <c r="D15" s="1"/>
      <c r="E15" s="1"/>
      <c r="F15" s="7" t="s">
        <v>35</v>
      </c>
      <c r="G15" s="2">
        <f>MAX(G2:G12)</f>
        <v>500</v>
      </c>
      <c r="H15" s="2">
        <f>MAX(H2:H12)</f>
        <v>360000</v>
      </c>
      <c r="I15" s="2">
        <f>MAX(I2:I12)</f>
        <v>70000</v>
      </c>
      <c r="J15" s="4">
        <f>MAX(J2:J12)</f>
        <v>290500</v>
      </c>
    </row>
    <row r="16" spans="1:10" x14ac:dyDescent="0.25">
      <c r="A16" s="1"/>
      <c r="B16" s="1"/>
      <c r="C16" s="1"/>
      <c r="D16" s="1"/>
      <c r="E16" s="1"/>
      <c r="F16" s="8" t="s">
        <v>36</v>
      </c>
      <c r="G16" s="3">
        <f>MIN(G2:G12)</f>
        <v>100</v>
      </c>
      <c r="H16" s="3">
        <f>MIN(H2:H12)</f>
        <v>66000</v>
      </c>
      <c r="I16" s="3">
        <f>MIN(I2:I12)</f>
        <v>44067</v>
      </c>
      <c r="J16" s="5">
        <f>MIN(J2:J12)</f>
        <v>22033</v>
      </c>
    </row>
  </sheetData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1"/>
  <sheetViews>
    <sheetView workbookViewId="0">
      <selection activeCell="C13" sqref="C13"/>
    </sheetView>
  </sheetViews>
  <sheetFormatPr defaultRowHeight="15" x14ac:dyDescent="0.25"/>
  <cols>
    <col min="1" max="1" width="5.140625" bestFit="1" customWidth="1"/>
    <col min="2" max="3" width="6.85546875" bestFit="1" customWidth="1"/>
    <col min="4" max="4" width="6.140625" bestFit="1" customWidth="1"/>
    <col min="5" max="6" width="8" bestFit="1" customWidth="1"/>
    <col min="7" max="7" width="9" bestFit="1" customWidth="1"/>
  </cols>
  <sheetData>
    <row r="3" spans="1:7" ht="15.75" thickBot="1" x14ac:dyDescent="0.3">
      <c r="A3" s="110" t="s">
        <v>177</v>
      </c>
      <c r="B3" s="110"/>
      <c r="C3" s="110"/>
      <c r="D3" s="110"/>
      <c r="E3" s="110"/>
      <c r="F3" s="110"/>
      <c r="G3" s="110"/>
    </row>
    <row r="4" spans="1:7" ht="30.75" thickTop="1" x14ac:dyDescent="0.25">
      <c r="A4" s="33" t="s">
        <v>178</v>
      </c>
      <c r="B4" s="63" t="s">
        <v>179</v>
      </c>
      <c r="C4" s="63" t="s">
        <v>180</v>
      </c>
      <c r="D4" s="63" t="s">
        <v>181</v>
      </c>
      <c r="E4" s="63" t="s">
        <v>182</v>
      </c>
      <c r="F4" s="63" t="s">
        <v>183</v>
      </c>
      <c r="G4" s="64" t="s">
        <v>184</v>
      </c>
    </row>
    <row r="5" spans="1:7" x14ac:dyDescent="0.25">
      <c r="A5" s="36" t="s">
        <v>185</v>
      </c>
      <c r="B5" s="1">
        <v>400</v>
      </c>
      <c r="C5" s="1">
        <v>1500</v>
      </c>
      <c r="D5" s="45">
        <f t="shared" ref="D5:D10" si="0">IF(A5="KD",3,IF(A5="NN",5,IF(A5="TT",4,2)))</f>
        <v>3</v>
      </c>
      <c r="E5" s="45">
        <f t="shared" ref="E5:E10" si="1">(C5-B5)*D5*550</f>
        <v>1815000</v>
      </c>
      <c r="F5" s="45">
        <f t="shared" ref="F5:F10" si="2">IF((C5-B5)&lt;50,0,IF((C5-B5)&lt;=100,E5*0.35,E5))</f>
        <v>1815000</v>
      </c>
      <c r="G5" s="65">
        <f t="shared" ref="G5:G10" si="3">F5+E5</f>
        <v>3630000</v>
      </c>
    </row>
    <row r="6" spans="1:7" x14ac:dyDescent="0.25">
      <c r="A6" s="36" t="s">
        <v>186</v>
      </c>
      <c r="B6" s="1">
        <v>58</v>
      </c>
      <c r="C6" s="1">
        <v>400</v>
      </c>
      <c r="D6" s="45">
        <f t="shared" si="0"/>
        <v>5</v>
      </c>
      <c r="E6" s="45">
        <f t="shared" si="1"/>
        <v>940500</v>
      </c>
      <c r="F6" s="45">
        <f t="shared" si="2"/>
        <v>940500</v>
      </c>
      <c r="G6" s="65">
        <f t="shared" si="3"/>
        <v>1881000</v>
      </c>
    </row>
    <row r="7" spans="1:7" x14ac:dyDescent="0.25">
      <c r="A7" s="36" t="s">
        <v>187</v>
      </c>
      <c r="B7" s="1">
        <v>150</v>
      </c>
      <c r="C7" s="1">
        <v>700</v>
      </c>
      <c r="D7" s="45">
        <f t="shared" si="0"/>
        <v>2</v>
      </c>
      <c r="E7" s="45">
        <f t="shared" si="1"/>
        <v>605000</v>
      </c>
      <c r="F7" s="45">
        <f t="shared" si="2"/>
        <v>605000</v>
      </c>
      <c r="G7" s="65">
        <f t="shared" si="3"/>
        <v>1210000</v>
      </c>
    </row>
    <row r="8" spans="1:7" x14ac:dyDescent="0.25">
      <c r="A8" s="36" t="s">
        <v>188</v>
      </c>
      <c r="B8" s="1">
        <v>90</v>
      </c>
      <c r="C8" s="1">
        <v>150</v>
      </c>
      <c r="D8" s="45">
        <f t="shared" si="0"/>
        <v>4</v>
      </c>
      <c r="E8" s="45">
        <f t="shared" si="1"/>
        <v>132000</v>
      </c>
      <c r="F8" s="45">
        <f t="shared" si="2"/>
        <v>46200</v>
      </c>
      <c r="G8" s="65">
        <f t="shared" si="3"/>
        <v>178200</v>
      </c>
    </row>
    <row r="9" spans="1:7" x14ac:dyDescent="0.25">
      <c r="A9" s="36" t="s">
        <v>185</v>
      </c>
      <c r="B9" s="1">
        <v>34</v>
      </c>
      <c r="C9" s="1">
        <v>87</v>
      </c>
      <c r="D9" s="45">
        <f t="shared" si="0"/>
        <v>3</v>
      </c>
      <c r="E9" s="45">
        <f t="shared" si="1"/>
        <v>87450</v>
      </c>
      <c r="F9" s="45">
        <f t="shared" si="2"/>
        <v>30607.499999999996</v>
      </c>
      <c r="G9" s="65">
        <f t="shared" si="3"/>
        <v>118057.5</v>
      </c>
    </row>
    <row r="10" spans="1:7" ht="15.75" thickBot="1" x14ac:dyDescent="0.3">
      <c r="A10" s="61" t="s">
        <v>186</v>
      </c>
      <c r="B10" s="62">
        <v>50</v>
      </c>
      <c r="C10" s="62">
        <v>90</v>
      </c>
      <c r="D10" s="46">
        <f t="shared" si="0"/>
        <v>5</v>
      </c>
      <c r="E10" s="46">
        <f t="shared" si="1"/>
        <v>110000</v>
      </c>
      <c r="F10" s="46">
        <f t="shared" si="2"/>
        <v>0</v>
      </c>
      <c r="G10" s="66">
        <f t="shared" si="3"/>
        <v>110000</v>
      </c>
    </row>
    <row r="11" spans="1:7" ht="15.75" thickTop="1" x14ac:dyDescent="0.25"/>
  </sheetData>
  <mergeCells count="1">
    <mergeCell ref="A3:G3"/>
  </mergeCells>
  <pageMargins left="0.7" right="0.7" top="0.75" bottom="0.75" header="0.3" footer="0.3"/>
  <pageSetup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workbookViewId="0">
      <selection activeCell="G11" sqref="G11"/>
    </sheetView>
  </sheetViews>
  <sheetFormatPr defaultRowHeight="15" x14ac:dyDescent="0.25"/>
  <cols>
    <col min="1" max="1" width="10.5703125" bestFit="1" customWidth="1"/>
    <col min="2" max="2" width="15.140625" bestFit="1" customWidth="1"/>
    <col min="5" max="5" width="8.42578125" bestFit="1" customWidth="1"/>
    <col min="6" max="6" width="7.28515625" bestFit="1" customWidth="1"/>
  </cols>
  <sheetData>
    <row r="2" spans="1:6" x14ac:dyDescent="0.25">
      <c r="A2" s="112" t="s">
        <v>202</v>
      </c>
      <c r="B2" s="112"/>
      <c r="C2" s="112"/>
      <c r="D2" s="112"/>
      <c r="E2" s="112"/>
      <c r="F2" s="112"/>
    </row>
    <row r="3" spans="1:6" ht="30" x14ac:dyDescent="0.25">
      <c r="A3" s="48" t="s">
        <v>189</v>
      </c>
      <c r="B3" s="47" t="s">
        <v>190</v>
      </c>
      <c r="C3" s="48" t="s">
        <v>191</v>
      </c>
      <c r="D3" s="48" t="s">
        <v>121</v>
      </c>
      <c r="E3" s="47" t="s">
        <v>192</v>
      </c>
      <c r="F3" s="47" t="s">
        <v>182</v>
      </c>
    </row>
    <row r="4" spans="1:6" x14ac:dyDescent="0.25">
      <c r="A4" s="1" t="s">
        <v>193</v>
      </c>
      <c r="B4" s="17" t="str">
        <f>VLOOKUP(A4,$A$11:$B$14,2,FALSE)</f>
        <v>Xà bông LifeBoy</v>
      </c>
      <c r="C4" s="67">
        <v>19</v>
      </c>
      <c r="D4" s="17">
        <f>VLOOKUP(A4,$A$11:$C$14,3,FALSE)</f>
        <v>4200</v>
      </c>
      <c r="E4" s="17">
        <f>IF(C4&lt;4,0,IF(C4&lt;=9,1,IF(C4&lt;=14,2,IF(C4&lt;=19,3,5))))</f>
        <v>3</v>
      </c>
      <c r="F4" s="17">
        <f>(C4-E4)*D4</f>
        <v>67200</v>
      </c>
    </row>
    <row r="5" spans="1:6" x14ac:dyDescent="0.25">
      <c r="A5" s="1" t="s">
        <v>194</v>
      </c>
      <c r="B5" s="17" t="str">
        <f>VLOOKUP(A5,$A$11:$B$14,2,FALSE)</f>
        <v>Nước</v>
      </c>
      <c r="C5" s="67">
        <v>5</v>
      </c>
      <c r="D5" s="17">
        <f>VLOOKUP(A5,$A$11:$C$14,3,FALSE)</f>
        <v>4350</v>
      </c>
      <c r="E5" s="17">
        <f>IF(C5&lt;4,0,IF(C5&lt;=9,1,IF(C5&lt;=14,2,IF(C5&lt;=19,3,5))))</f>
        <v>1</v>
      </c>
      <c r="F5" s="17">
        <f>(C5-E5)*D5</f>
        <v>17400</v>
      </c>
    </row>
    <row r="6" spans="1:6" x14ac:dyDescent="0.25">
      <c r="A6" s="1" t="s">
        <v>195</v>
      </c>
      <c r="B6" s="17" t="str">
        <f>VLOOKUP(A6,$A$11:$B$14,2,FALSE)</f>
        <v>Thực phẩm</v>
      </c>
      <c r="C6" s="67">
        <v>16</v>
      </c>
      <c r="D6" s="17">
        <f>VLOOKUP(A6,$A$11:$C$14,3,FALSE)</f>
        <v>2000</v>
      </c>
      <c r="E6" s="17">
        <f>IF(C6&lt;4,0,IF(C6&lt;=9,1,IF(C6&lt;=14,2,IF(C6&lt;=19,3,5))))</f>
        <v>3</v>
      </c>
      <c r="F6" s="17">
        <f>(C6-E6)*D6</f>
        <v>26000</v>
      </c>
    </row>
    <row r="7" spans="1:6" x14ac:dyDescent="0.25">
      <c r="A7" s="1" t="s">
        <v>196</v>
      </c>
      <c r="B7" s="17" t="str">
        <f>VLOOKUP(A7,$A$11:$B$14,2,FALSE)</f>
        <v>Súp Knor</v>
      </c>
      <c r="C7" s="67">
        <v>1</v>
      </c>
      <c r="D7" s="17">
        <f>VLOOKUP(A7,$A$11:$C$14,3,FALSE)</f>
        <v>1000</v>
      </c>
      <c r="E7" s="17">
        <f>IF(C7&lt;4,0,IF(C7&lt;=9,1,IF(C7&lt;=14,2,IF(C7&lt;=19,3,5))))</f>
        <v>0</v>
      </c>
      <c r="F7" s="17">
        <f>(C7-E7)*D7</f>
        <v>1000</v>
      </c>
    </row>
    <row r="8" spans="1:6" x14ac:dyDescent="0.25">
      <c r="A8" s="113" t="s">
        <v>140</v>
      </c>
      <c r="B8" s="113"/>
      <c r="C8" s="113"/>
      <c r="D8" s="113"/>
      <c r="E8" s="113"/>
      <c r="F8" s="17">
        <f>SUM(F4:F7)</f>
        <v>111600</v>
      </c>
    </row>
    <row r="9" spans="1:6" x14ac:dyDescent="0.25">
      <c r="A9" t="s">
        <v>198</v>
      </c>
    </row>
    <row r="10" spans="1:6" ht="30" x14ac:dyDescent="0.25">
      <c r="A10" s="17" t="s">
        <v>189</v>
      </c>
      <c r="B10" s="68" t="s">
        <v>190</v>
      </c>
      <c r="C10" s="17" t="s">
        <v>121</v>
      </c>
    </row>
    <row r="11" spans="1:6" x14ac:dyDescent="0.25">
      <c r="A11" s="1" t="s">
        <v>193</v>
      </c>
      <c r="B11" s="1" t="s">
        <v>197</v>
      </c>
      <c r="C11" s="1">
        <v>4200</v>
      </c>
    </row>
    <row r="12" spans="1:6" x14ac:dyDescent="0.25">
      <c r="A12" s="1" t="s">
        <v>194</v>
      </c>
      <c r="B12" s="1" t="s">
        <v>199</v>
      </c>
      <c r="C12" s="1">
        <v>4350</v>
      </c>
    </row>
    <row r="13" spans="1:6" x14ac:dyDescent="0.25">
      <c r="A13" s="1" t="s">
        <v>196</v>
      </c>
      <c r="B13" s="1" t="s">
        <v>200</v>
      </c>
      <c r="C13" s="1">
        <v>1000</v>
      </c>
    </row>
    <row r="14" spans="1:6" x14ac:dyDescent="0.25">
      <c r="A14" s="1" t="s">
        <v>195</v>
      </c>
      <c r="B14" s="1" t="s">
        <v>201</v>
      </c>
      <c r="C14" s="1">
        <v>2000</v>
      </c>
    </row>
  </sheetData>
  <mergeCells count="2">
    <mergeCell ref="A2:F2"/>
    <mergeCell ref="A8:E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10" sqref="G10"/>
    </sheetView>
  </sheetViews>
  <sheetFormatPr defaultRowHeight="15" x14ac:dyDescent="0.25"/>
  <cols>
    <col min="1" max="1" width="9.42578125" bestFit="1" customWidth="1"/>
    <col min="2" max="2" width="7.7109375" bestFit="1" customWidth="1"/>
    <col min="7" max="7" width="10.140625" bestFit="1" customWidth="1"/>
  </cols>
  <sheetData>
    <row r="1" spans="1:7" ht="15.75" x14ac:dyDescent="0.25">
      <c r="A1" s="120" t="s">
        <v>203</v>
      </c>
      <c r="B1" s="120"/>
      <c r="C1" s="120"/>
      <c r="D1" s="120"/>
      <c r="E1" s="120"/>
      <c r="F1" s="120"/>
      <c r="G1" s="120"/>
    </row>
    <row r="2" spans="1:7" ht="15.75" x14ac:dyDescent="0.25">
      <c r="A2" s="69"/>
      <c r="B2" s="69"/>
      <c r="C2" s="69"/>
      <c r="D2" s="69" t="s">
        <v>204</v>
      </c>
      <c r="E2" s="69">
        <v>15700</v>
      </c>
      <c r="F2" s="69"/>
      <c r="G2" s="69"/>
    </row>
    <row r="3" spans="1:7" ht="63" x14ac:dyDescent="0.25">
      <c r="A3" s="70" t="s">
        <v>205</v>
      </c>
      <c r="B3" s="70" t="s">
        <v>206</v>
      </c>
      <c r="C3" s="70" t="s">
        <v>207</v>
      </c>
      <c r="D3" s="70" t="s">
        <v>208</v>
      </c>
      <c r="E3" s="70" t="s">
        <v>209</v>
      </c>
      <c r="F3" s="70" t="s">
        <v>210</v>
      </c>
      <c r="G3" s="70" t="s">
        <v>211</v>
      </c>
    </row>
    <row r="4" spans="1:7" ht="15.75" x14ac:dyDescent="0.25">
      <c r="A4" s="71" t="s">
        <v>216</v>
      </c>
      <c r="B4" s="71" t="s">
        <v>173</v>
      </c>
      <c r="C4" s="75">
        <f t="shared" ref="C4:C10" si="0">VLOOKUP(B4,$A$13:$C$16,2,FALSE)</f>
        <v>200</v>
      </c>
      <c r="D4" s="72">
        <v>500</v>
      </c>
      <c r="E4" s="75">
        <f t="shared" ref="E4:E10" si="1">VLOOKUP(B4,$A$13:$C$16,3,FALSE)</f>
        <v>3</v>
      </c>
      <c r="F4" s="75">
        <f t="shared" ref="F4:F10" si="2">IF(D4&gt;C4,(D4-C4)*0.2*E4,0)</f>
        <v>180</v>
      </c>
      <c r="G4" s="75">
        <f t="shared" ref="G4:G10" si="3">(E4+F4)*$E$2</f>
        <v>2873100</v>
      </c>
    </row>
    <row r="5" spans="1:7" ht="15.75" x14ac:dyDescent="0.25">
      <c r="A5" s="71" t="s">
        <v>212</v>
      </c>
      <c r="B5" s="71" t="s">
        <v>173</v>
      </c>
      <c r="C5" s="75">
        <f t="shared" si="0"/>
        <v>200</v>
      </c>
      <c r="D5" s="72">
        <v>1900</v>
      </c>
      <c r="E5" s="75">
        <f t="shared" si="1"/>
        <v>3</v>
      </c>
      <c r="F5" s="75">
        <f t="shared" si="2"/>
        <v>1020</v>
      </c>
      <c r="G5" s="75">
        <f t="shared" si="3"/>
        <v>16061100</v>
      </c>
    </row>
    <row r="6" spans="1:7" ht="15.75" x14ac:dyDescent="0.25">
      <c r="A6" s="71" t="s">
        <v>214</v>
      </c>
      <c r="B6" s="71" t="s">
        <v>173</v>
      </c>
      <c r="C6" s="75">
        <f t="shared" si="0"/>
        <v>200</v>
      </c>
      <c r="D6" s="72">
        <v>800</v>
      </c>
      <c r="E6" s="75">
        <f t="shared" si="1"/>
        <v>3</v>
      </c>
      <c r="F6" s="75">
        <f t="shared" si="2"/>
        <v>360</v>
      </c>
      <c r="G6" s="75">
        <f t="shared" si="3"/>
        <v>5699100</v>
      </c>
    </row>
    <row r="7" spans="1:7" ht="15.75" x14ac:dyDescent="0.25">
      <c r="A7" s="71" t="s">
        <v>213</v>
      </c>
      <c r="B7" s="71" t="s">
        <v>174</v>
      </c>
      <c r="C7" s="75">
        <f t="shared" si="0"/>
        <v>400</v>
      </c>
      <c r="D7" s="72">
        <v>1580</v>
      </c>
      <c r="E7" s="75">
        <f t="shared" si="1"/>
        <v>2</v>
      </c>
      <c r="F7" s="75">
        <f t="shared" si="2"/>
        <v>472</v>
      </c>
      <c r="G7" s="75">
        <f t="shared" si="3"/>
        <v>7441800</v>
      </c>
    </row>
    <row r="8" spans="1:7" ht="15.75" x14ac:dyDescent="0.25">
      <c r="A8" s="71" t="s">
        <v>215</v>
      </c>
      <c r="B8" s="71" t="s">
        <v>174</v>
      </c>
      <c r="C8" s="75">
        <f t="shared" si="0"/>
        <v>400</v>
      </c>
      <c r="D8" s="72">
        <v>1000</v>
      </c>
      <c r="E8" s="75">
        <f t="shared" si="1"/>
        <v>2</v>
      </c>
      <c r="F8" s="75">
        <f t="shared" si="2"/>
        <v>240</v>
      </c>
      <c r="G8" s="75">
        <f t="shared" si="3"/>
        <v>3799400</v>
      </c>
    </row>
    <row r="9" spans="1:7" ht="15.75" x14ac:dyDescent="0.25">
      <c r="A9" s="71" t="s">
        <v>217</v>
      </c>
      <c r="B9" s="71" t="s">
        <v>175</v>
      </c>
      <c r="C9" s="75">
        <f t="shared" si="0"/>
        <v>600</v>
      </c>
      <c r="D9" s="72">
        <v>350</v>
      </c>
      <c r="E9" s="75">
        <f t="shared" si="1"/>
        <v>1</v>
      </c>
      <c r="F9" s="75">
        <f t="shared" si="2"/>
        <v>0</v>
      </c>
      <c r="G9" s="75">
        <f t="shared" si="3"/>
        <v>15700</v>
      </c>
    </row>
    <row r="10" spans="1:7" ht="15.75" x14ac:dyDescent="0.25">
      <c r="A10" s="71" t="s">
        <v>218</v>
      </c>
      <c r="B10" s="71" t="s">
        <v>175</v>
      </c>
      <c r="C10" s="75">
        <f t="shared" si="0"/>
        <v>600</v>
      </c>
      <c r="D10" s="72">
        <v>70</v>
      </c>
      <c r="E10" s="75">
        <f t="shared" si="1"/>
        <v>1</v>
      </c>
      <c r="F10" s="75">
        <f t="shared" si="2"/>
        <v>0</v>
      </c>
      <c r="G10" s="75">
        <f t="shared" si="3"/>
        <v>15700</v>
      </c>
    </row>
    <row r="11" spans="1:7" ht="43.5" customHeight="1" x14ac:dyDescent="0.25">
      <c r="A11" s="121" t="s">
        <v>219</v>
      </c>
      <c r="B11" s="121"/>
      <c r="C11" s="121"/>
      <c r="D11" s="69"/>
      <c r="E11" s="69"/>
      <c r="F11" s="69"/>
      <c r="G11" s="69"/>
    </row>
    <row r="12" spans="1:7" ht="31.5" x14ac:dyDescent="0.25">
      <c r="A12" s="70" t="s">
        <v>206</v>
      </c>
      <c r="B12" s="70" t="s">
        <v>207</v>
      </c>
      <c r="C12" s="70" t="s">
        <v>209</v>
      </c>
      <c r="D12" s="69"/>
      <c r="E12" s="69"/>
      <c r="F12" s="69"/>
      <c r="G12" s="69"/>
    </row>
    <row r="13" spans="1:7" ht="15.75" x14ac:dyDescent="0.25">
      <c r="A13" s="73" t="s">
        <v>173</v>
      </c>
      <c r="B13" s="73">
        <v>200</v>
      </c>
      <c r="C13" s="73">
        <v>3</v>
      </c>
      <c r="D13" s="69"/>
      <c r="E13" s="69"/>
      <c r="F13" s="69"/>
      <c r="G13" s="69"/>
    </row>
    <row r="14" spans="1:7" ht="15.75" x14ac:dyDescent="0.25">
      <c r="A14" s="73" t="s">
        <v>174</v>
      </c>
      <c r="B14" s="73">
        <v>400</v>
      </c>
      <c r="C14" s="73">
        <v>2</v>
      </c>
      <c r="D14" s="69"/>
      <c r="E14" s="69"/>
      <c r="F14" s="69"/>
      <c r="G14" s="69"/>
    </row>
    <row r="15" spans="1:7" ht="15.75" x14ac:dyDescent="0.25">
      <c r="A15" s="73" t="s">
        <v>175</v>
      </c>
      <c r="B15" s="73">
        <v>600</v>
      </c>
      <c r="C15" s="73">
        <v>1</v>
      </c>
      <c r="D15" s="69"/>
      <c r="E15" s="69"/>
      <c r="F15" s="69"/>
      <c r="G15" s="69"/>
    </row>
    <row r="16" spans="1:7" ht="15.75" x14ac:dyDescent="0.25">
      <c r="A16" s="73" t="s">
        <v>176</v>
      </c>
      <c r="B16" s="73">
        <v>800</v>
      </c>
      <c r="C16" s="73">
        <v>0.5</v>
      </c>
      <c r="D16" s="69"/>
      <c r="E16" s="69"/>
      <c r="F16" s="69"/>
      <c r="G16" s="69"/>
    </row>
  </sheetData>
  <sortState ref="A4:G10">
    <sortCondition ref="A4"/>
  </sortState>
  <mergeCells count="2">
    <mergeCell ref="A1:G1"/>
    <mergeCell ref="A11:C11"/>
  </mergeCells>
  <pageMargins left="0.7" right="0.7" top="0.75" bottom="0.75" header="0.3" footer="0.3"/>
  <pageSetup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4"/>
  <sheetViews>
    <sheetView showGridLines="0" topLeftCell="A3" workbookViewId="0">
      <selection activeCell="L4" sqref="L4"/>
    </sheetView>
  </sheetViews>
  <sheetFormatPr defaultRowHeight="15" x14ac:dyDescent="0.25"/>
  <cols>
    <col min="1" max="1" width="7.85546875" bestFit="1" customWidth="1"/>
    <col min="2" max="2" width="15.140625" bestFit="1" customWidth="1"/>
    <col min="3" max="3" width="8.5703125" bestFit="1" customWidth="1"/>
    <col min="4" max="4" width="7.85546875" bestFit="1" customWidth="1"/>
  </cols>
  <sheetData>
    <row r="3" spans="1:11" x14ac:dyDescent="0.25">
      <c r="A3" s="122" t="s">
        <v>220</v>
      </c>
      <c r="B3" s="122"/>
      <c r="C3" s="122"/>
      <c r="D3" s="122"/>
      <c r="E3" s="122"/>
      <c r="F3" s="122"/>
      <c r="G3" s="122"/>
      <c r="H3" s="122"/>
      <c r="I3" s="122"/>
      <c r="J3" s="122"/>
    </row>
    <row r="4" spans="1:11" ht="71.25" x14ac:dyDescent="0.25">
      <c r="A4" s="77" t="s">
        <v>221</v>
      </c>
      <c r="B4" s="78" t="s">
        <v>222</v>
      </c>
      <c r="C4" s="77" t="s">
        <v>223</v>
      </c>
      <c r="D4" s="77" t="s">
        <v>224</v>
      </c>
      <c r="E4" s="77" t="s">
        <v>225</v>
      </c>
      <c r="F4" s="77" t="s">
        <v>226</v>
      </c>
      <c r="G4" s="77" t="s">
        <v>227</v>
      </c>
      <c r="H4" s="77" t="s">
        <v>228</v>
      </c>
      <c r="I4" s="77" t="s">
        <v>229</v>
      </c>
      <c r="J4" s="77" t="s">
        <v>230</v>
      </c>
      <c r="K4" s="21"/>
    </row>
    <row r="5" spans="1:11" x14ac:dyDescent="0.25">
      <c r="A5" s="79">
        <v>1</v>
      </c>
      <c r="B5" s="79" t="s">
        <v>231</v>
      </c>
      <c r="C5" s="79" t="s">
        <v>235</v>
      </c>
      <c r="D5" s="80" t="str">
        <f>HLOOKUP(LEFT(C5,1),$C$10:$E$11,2,FALSE)</f>
        <v>Tin học</v>
      </c>
      <c r="E5" s="81">
        <v>7</v>
      </c>
      <c r="F5" s="81">
        <v>3</v>
      </c>
      <c r="G5" s="80">
        <f>(E5*2+F5)</f>
        <v>17</v>
      </c>
      <c r="H5" s="80">
        <f>VLOOKUP(VALUE(RIGHT(C5,1)),$G$11:$H$14,2,0)</f>
        <v>2</v>
      </c>
      <c r="I5" s="80">
        <f>G5+H5</f>
        <v>19</v>
      </c>
      <c r="J5" s="80" t="str">
        <f>IF(I5&gt;18,"Đậu","Rớt")</f>
        <v>Đậu</v>
      </c>
    </row>
    <row r="6" spans="1:11" x14ac:dyDescent="0.25">
      <c r="A6" s="79">
        <v>2</v>
      </c>
      <c r="B6" s="79" t="s">
        <v>232</v>
      </c>
      <c r="C6" s="79" t="s">
        <v>236</v>
      </c>
      <c r="D6" s="80" t="str">
        <f>HLOOKUP(LEFT(C6,1),$C$10:$E$11,2,FALSE)</f>
        <v>Lý</v>
      </c>
      <c r="E6" s="81">
        <v>4</v>
      </c>
      <c r="F6" s="81">
        <v>7</v>
      </c>
      <c r="G6" s="80">
        <f>(E6*2+F6)</f>
        <v>15</v>
      </c>
      <c r="H6" s="80">
        <f>VLOOKUP(VALUE(RIGHT(C6,1)),$G$11:$H$14,2,0)</f>
        <v>1</v>
      </c>
      <c r="I6" s="80">
        <f>G6+H6</f>
        <v>16</v>
      </c>
      <c r="J6" s="80" t="str">
        <f>IF(I6&gt;18,"Đậu","Rớt")</f>
        <v>Rớt</v>
      </c>
    </row>
    <row r="7" spans="1:11" x14ac:dyDescent="0.25">
      <c r="A7" s="79">
        <v>3</v>
      </c>
      <c r="B7" s="79" t="s">
        <v>233</v>
      </c>
      <c r="C7" s="79" t="s">
        <v>237</v>
      </c>
      <c r="D7" s="80" t="str">
        <f>HLOOKUP(LEFT(C7,1),$C$10:$E$11,2,FALSE)</f>
        <v>Hóa</v>
      </c>
      <c r="E7" s="81">
        <v>7</v>
      </c>
      <c r="F7" s="81">
        <v>6</v>
      </c>
      <c r="G7" s="80">
        <f>(E7*2+F7)</f>
        <v>20</v>
      </c>
      <c r="H7" s="80">
        <f>VLOOKUP(VALUE(RIGHT(C7,1)),$G$11:$H$14,2,0)</f>
        <v>1.5</v>
      </c>
      <c r="I7" s="80">
        <f>G7+H7</f>
        <v>21.5</v>
      </c>
      <c r="J7" s="80" t="str">
        <f>IF(I7&gt;18,"Đậu","Rớt")</f>
        <v>Đậu</v>
      </c>
    </row>
    <row r="8" spans="1:11" x14ac:dyDescent="0.25">
      <c r="A8" s="79">
        <v>4</v>
      </c>
      <c r="B8" s="79" t="s">
        <v>234</v>
      </c>
      <c r="C8" s="79" t="s">
        <v>238</v>
      </c>
      <c r="D8" s="80" t="str">
        <f>HLOOKUP(LEFT(C8,1),$C$10:$E$11,2,FALSE)</f>
        <v>Hóa</v>
      </c>
      <c r="E8" s="81">
        <v>6</v>
      </c>
      <c r="F8" s="81">
        <v>6.5</v>
      </c>
      <c r="G8" s="80">
        <f>(E8*2+F8)</f>
        <v>18.5</v>
      </c>
      <c r="H8" s="80">
        <f>VLOOKUP(VALUE(RIGHT(C8,1)),$G$11:$H$14,2,0)</f>
        <v>0</v>
      </c>
      <c r="I8" s="80">
        <f>G8+H8</f>
        <v>18.5</v>
      </c>
      <c r="J8" s="80" t="str">
        <f>IF(I8&gt;18,"Đậu","Rớt")</f>
        <v>Đậu</v>
      </c>
    </row>
    <row r="9" spans="1:11" x14ac:dyDescent="0.25">
      <c r="A9" s="76"/>
      <c r="B9" s="76"/>
      <c r="C9" s="76"/>
      <c r="D9" s="76"/>
      <c r="E9" s="76"/>
      <c r="F9" s="76"/>
      <c r="G9" s="122" t="s">
        <v>245</v>
      </c>
      <c r="H9" s="122"/>
      <c r="I9" s="76"/>
      <c r="J9" s="76"/>
    </row>
    <row r="10" spans="1:11" ht="28.5" x14ac:dyDescent="0.25">
      <c r="A10" s="123" t="s">
        <v>239</v>
      </c>
      <c r="B10" s="78" t="s">
        <v>240</v>
      </c>
      <c r="C10" s="79" t="s">
        <v>173</v>
      </c>
      <c r="D10" s="79" t="s">
        <v>174</v>
      </c>
      <c r="E10" s="79" t="s">
        <v>175</v>
      </c>
      <c r="F10" s="76"/>
      <c r="G10" s="77" t="s">
        <v>246</v>
      </c>
      <c r="H10" s="78" t="s">
        <v>158</v>
      </c>
      <c r="I10" s="76"/>
      <c r="J10" s="76"/>
    </row>
    <row r="11" spans="1:11" x14ac:dyDescent="0.25">
      <c r="A11" s="123"/>
      <c r="B11" s="78" t="s">
        <v>241</v>
      </c>
      <c r="C11" s="79" t="s">
        <v>242</v>
      </c>
      <c r="D11" s="79" t="s">
        <v>243</v>
      </c>
      <c r="E11" s="79" t="s">
        <v>244</v>
      </c>
      <c r="F11" s="76"/>
      <c r="G11" s="79">
        <v>1</v>
      </c>
      <c r="H11" s="79">
        <v>2</v>
      </c>
      <c r="I11" s="76"/>
      <c r="J11" s="76"/>
    </row>
    <row r="12" spans="1:11" x14ac:dyDescent="0.25">
      <c r="A12" s="76"/>
      <c r="B12" s="76"/>
      <c r="C12" s="76"/>
      <c r="D12" s="76"/>
      <c r="E12" s="76"/>
      <c r="F12" s="76"/>
      <c r="G12" s="79">
        <v>2</v>
      </c>
      <c r="H12" s="79">
        <v>1.5</v>
      </c>
      <c r="I12" s="76"/>
      <c r="J12" s="76"/>
    </row>
    <row r="13" spans="1:11" x14ac:dyDescent="0.25">
      <c r="A13" s="76"/>
      <c r="B13" s="76"/>
      <c r="C13" s="76"/>
      <c r="D13" s="76"/>
      <c r="E13" s="76"/>
      <c r="F13" s="76"/>
      <c r="G13" s="79">
        <v>3</v>
      </c>
      <c r="H13" s="79">
        <v>1</v>
      </c>
      <c r="I13" s="76"/>
      <c r="J13" s="76"/>
    </row>
    <row r="14" spans="1:11" x14ac:dyDescent="0.25">
      <c r="A14" s="76"/>
      <c r="B14" s="76"/>
      <c r="C14" s="76"/>
      <c r="D14" s="76"/>
      <c r="E14" s="76"/>
      <c r="F14" s="76"/>
      <c r="G14" s="79">
        <v>4</v>
      </c>
      <c r="H14" s="79">
        <v>0</v>
      </c>
      <c r="I14" s="76"/>
      <c r="J14" s="76"/>
    </row>
  </sheetData>
  <mergeCells count="3">
    <mergeCell ref="A3:J3"/>
    <mergeCell ref="A10:A11"/>
    <mergeCell ref="G9:H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23"/>
  <sheetViews>
    <sheetView showGridLines="0" topLeftCell="A3" workbookViewId="0">
      <selection activeCell="K15" sqref="K15"/>
    </sheetView>
  </sheetViews>
  <sheetFormatPr defaultRowHeight="15" x14ac:dyDescent="0.25"/>
  <cols>
    <col min="1" max="1" width="7.7109375" bestFit="1" customWidth="1"/>
    <col min="2" max="2" width="11" bestFit="1" customWidth="1"/>
    <col min="4" max="4" width="10.5703125" bestFit="1" customWidth="1"/>
    <col min="5" max="5" width="8.42578125" bestFit="1" customWidth="1"/>
    <col min="6" max="6" width="9.28515625" customWidth="1"/>
    <col min="7" max="7" width="8.5703125" customWidth="1"/>
  </cols>
  <sheetData>
    <row r="4" spans="1:7" ht="15.75" thickBot="1" x14ac:dyDescent="0.3">
      <c r="A4" s="112" t="s">
        <v>247</v>
      </c>
      <c r="B4" s="112"/>
      <c r="C4" s="112"/>
      <c r="D4" s="112"/>
      <c r="E4" s="112"/>
      <c r="F4" s="112"/>
      <c r="G4" s="112"/>
    </row>
    <row r="5" spans="1:7" ht="45.75" thickTop="1" x14ac:dyDescent="0.25">
      <c r="A5" s="86" t="s">
        <v>248</v>
      </c>
      <c r="B5" s="34" t="s">
        <v>249</v>
      </c>
      <c r="C5" s="34" t="s">
        <v>121</v>
      </c>
      <c r="D5" s="34" t="s">
        <v>120</v>
      </c>
      <c r="E5" s="63" t="s">
        <v>250</v>
      </c>
      <c r="F5" s="63" t="s">
        <v>182</v>
      </c>
      <c r="G5" s="64" t="s">
        <v>229</v>
      </c>
    </row>
    <row r="6" spans="1:7" ht="15.75" x14ac:dyDescent="0.25">
      <c r="A6" s="36" t="s">
        <v>251</v>
      </c>
      <c r="B6" s="17" t="str">
        <f>VLOOKUP(LEFT(A6,2),$A$18:$B$22,2,0)</f>
        <v>Đĩa cứng</v>
      </c>
      <c r="C6" s="17">
        <f>VLOOKUP(LEFT(A6,2),$A$16:$D$22,IF(RIGHT(A6,1)="1",3,4),0)</f>
        <v>49</v>
      </c>
      <c r="D6" s="82">
        <v>60</v>
      </c>
      <c r="E6" s="17">
        <f>IF(RIGHT(A6,1)="1",0.01,0.05)*C6</f>
        <v>0.49</v>
      </c>
      <c r="F6" s="17">
        <f>D6*(C6+E6)</f>
        <v>2969.4</v>
      </c>
      <c r="G6" s="65">
        <f>ROUND(IF(F6&gt;=1000,F6-0.01*F6,F6),0)</f>
        <v>2940</v>
      </c>
    </row>
    <row r="7" spans="1:7" ht="15.75" x14ac:dyDescent="0.25">
      <c r="A7" s="36" t="s">
        <v>252</v>
      </c>
      <c r="B7" s="17" t="str">
        <f t="shared" ref="B7:B13" si="0">VLOOKUP(LEFT(A7,2),$A$18:$B$22,2,0)</f>
        <v>Đĩa mềm</v>
      </c>
      <c r="C7" s="17">
        <f t="shared" ref="C7:C13" si="1">VLOOKUP(LEFT(A7,2),$A$16:$D$22,IF(RIGHT(A7,1)="1",3,4),0)</f>
        <v>2.5</v>
      </c>
      <c r="D7" s="82">
        <v>70</v>
      </c>
      <c r="E7" s="17">
        <f t="shared" ref="E7:E13" si="2">IF(RIGHT(A7,1)="1",0.01,0.05)*C7</f>
        <v>2.5000000000000001E-2</v>
      </c>
      <c r="F7" s="17">
        <f t="shared" ref="F7:F13" si="3">D7*(C7+E7)</f>
        <v>176.75</v>
      </c>
      <c r="G7" s="65">
        <f t="shared" ref="G7:G13" si="4">ROUND(IF(F7&gt;=1000,F7-0.01*F7,F7),0)</f>
        <v>177</v>
      </c>
    </row>
    <row r="8" spans="1:7" ht="15.75" x14ac:dyDescent="0.25">
      <c r="A8" s="36" t="s">
        <v>253</v>
      </c>
      <c r="B8" s="17" t="str">
        <f t="shared" si="0"/>
        <v>Mouse</v>
      </c>
      <c r="C8" s="17">
        <f t="shared" si="1"/>
        <v>3</v>
      </c>
      <c r="D8" s="82">
        <v>30</v>
      </c>
      <c r="E8" s="17">
        <f t="shared" si="2"/>
        <v>0.03</v>
      </c>
      <c r="F8" s="17">
        <f t="shared" si="3"/>
        <v>90.899999999999991</v>
      </c>
      <c r="G8" s="65">
        <f t="shared" si="4"/>
        <v>91</v>
      </c>
    </row>
    <row r="9" spans="1:7" ht="15.75" x14ac:dyDescent="0.25">
      <c r="A9" s="36" t="s">
        <v>254</v>
      </c>
      <c r="B9" s="17" t="str">
        <f t="shared" si="0"/>
        <v>SD Ram</v>
      </c>
      <c r="C9" s="17">
        <f t="shared" si="1"/>
        <v>13</v>
      </c>
      <c r="D9" s="82">
        <v>120</v>
      </c>
      <c r="E9" s="17">
        <f t="shared" si="2"/>
        <v>0.13</v>
      </c>
      <c r="F9" s="17">
        <f t="shared" si="3"/>
        <v>1575.6000000000001</v>
      </c>
      <c r="G9" s="65">
        <f t="shared" si="4"/>
        <v>1560</v>
      </c>
    </row>
    <row r="10" spans="1:7" ht="15.75" x14ac:dyDescent="0.25">
      <c r="A10" s="36" t="s">
        <v>255</v>
      </c>
      <c r="B10" s="17" t="str">
        <f t="shared" si="0"/>
        <v>DD Ram</v>
      </c>
      <c r="C10" s="17">
        <f t="shared" si="1"/>
        <v>27</v>
      </c>
      <c r="D10" s="82">
        <v>100</v>
      </c>
      <c r="E10" s="17">
        <f t="shared" si="2"/>
        <v>0.27</v>
      </c>
      <c r="F10" s="17">
        <f t="shared" si="3"/>
        <v>2727</v>
      </c>
      <c r="G10" s="65">
        <f t="shared" si="4"/>
        <v>2700</v>
      </c>
    </row>
    <row r="11" spans="1:7" ht="15.75" x14ac:dyDescent="0.25">
      <c r="A11" s="36" t="s">
        <v>256</v>
      </c>
      <c r="B11" s="17" t="str">
        <f t="shared" si="0"/>
        <v>Đĩa cứng</v>
      </c>
      <c r="C11" s="17">
        <f t="shared" si="1"/>
        <v>50</v>
      </c>
      <c r="D11" s="82">
        <v>50</v>
      </c>
      <c r="E11" s="17">
        <f t="shared" si="2"/>
        <v>2.5</v>
      </c>
      <c r="F11" s="17">
        <f t="shared" si="3"/>
        <v>2625</v>
      </c>
      <c r="G11" s="65">
        <f t="shared" si="4"/>
        <v>2599</v>
      </c>
    </row>
    <row r="12" spans="1:7" ht="15.75" x14ac:dyDescent="0.25">
      <c r="A12" s="36" t="s">
        <v>257</v>
      </c>
      <c r="B12" s="17" t="str">
        <f t="shared" si="0"/>
        <v>Mouse</v>
      </c>
      <c r="C12" s="17">
        <f t="shared" si="1"/>
        <v>3.5</v>
      </c>
      <c r="D12" s="82">
        <v>65</v>
      </c>
      <c r="E12" s="17">
        <f t="shared" si="2"/>
        <v>0.17500000000000002</v>
      </c>
      <c r="F12" s="17">
        <f t="shared" si="3"/>
        <v>238.875</v>
      </c>
      <c r="G12" s="65">
        <f t="shared" si="4"/>
        <v>239</v>
      </c>
    </row>
    <row r="13" spans="1:7" ht="16.5" thickBot="1" x14ac:dyDescent="0.3">
      <c r="A13" s="61" t="s">
        <v>258</v>
      </c>
      <c r="B13" s="51" t="str">
        <f t="shared" si="0"/>
        <v>DD Ram</v>
      </c>
      <c r="C13" s="51">
        <f t="shared" si="1"/>
        <v>30</v>
      </c>
      <c r="D13" s="84">
        <v>20</v>
      </c>
      <c r="E13" s="51">
        <f t="shared" si="2"/>
        <v>1.5</v>
      </c>
      <c r="F13" s="51">
        <f t="shared" si="3"/>
        <v>630</v>
      </c>
      <c r="G13" s="66">
        <f t="shared" si="4"/>
        <v>630</v>
      </c>
    </row>
    <row r="14" spans="1:7" ht="16.5" thickTop="1" thickBot="1" x14ac:dyDescent="0.3"/>
    <row r="15" spans="1:7" ht="16.5" thickTop="1" thickBot="1" x14ac:dyDescent="0.3">
      <c r="A15" s="126" t="s">
        <v>121</v>
      </c>
      <c r="B15" s="127"/>
      <c r="C15" s="127"/>
      <c r="D15" s="128"/>
    </row>
    <row r="16" spans="1:7" ht="15.75" thickTop="1" x14ac:dyDescent="0.25">
      <c r="A16" s="124" t="s">
        <v>248</v>
      </c>
      <c r="B16" s="113" t="s">
        <v>249</v>
      </c>
      <c r="C16" s="113" t="s">
        <v>121</v>
      </c>
      <c r="D16" s="125"/>
      <c r="F16" s="131" t="s">
        <v>264</v>
      </c>
      <c r="G16" s="132"/>
    </row>
    <row r="17" spans="1:7" x14ac:dyDescent="0.25">
      <c r="A17" s="124"/>
      <c r="B17" s="113"/>
      <c r="C17" s="17">
        <v>1</v>
      </c>
      <c r="D17" s="65">
        <v>2</v>
      </c>
      <c r="F17" s="129" t="s">
        <v>265</v>
      </c>
      <c r="G17" s="130"/>
    </row>
    <row r="18" spans="1:7" ht="15.75" x14ac:dyDescent="0.25">
      <c r="A18" s="36" t="s">
        <v>259</v>
      </c>
      <c r="B18" s="1" t="s">
        <v>266</v>
      </c>
      <c r="C18" s="82">
        <v>49</v>
      </c>
      <c r="D18" s="83">
        <v>50</v>
      </c>
      <c r="F18" s="36" t="s">
        <v>259</v>
      </c>
      <c r="G18" s="87">
        <f>SUMIF($A$6:$A$13,F18&amp;"*",$D$6:$D$13)</f>
        <v>110</v>
      </c>
    </row>
    <row r="19" spans="1:7" ht="15.75" x14ac:dyDescent="0.25">
      <c r="A19" s="36" t="s">
        <v>260</v>
      </c>
      <c r="B19" s="1" t="s">
        <v>267</v>
      </c>
      <c r="C19" s="82">
        <v>2.5</v>
      </c>
      <c r="D19" s="83">
        <v>3</v>
      </c>
      <c r="F19" s="36" t="s">
        <v>260</v>
      </c>
      <c r="G19" s="87">
        <f>SUMIF($A$6:$A$13,F19&amp;"*",$D$6:$D$13)</f>
        <v>70</v>
      </c>
    </row>
    <row r="20" spans="1:7" ht="15.75" x14ac:dyDescent="0.25">
      <c r="A20" s="36" t="s">
        <v>261</v>
      </c>
      <c r="B20" s="1" t="s">
        <v>268</v>
      </c>
      <c r="C20" s="82">
        <v>3</v>
      </c>
      <c r="D20" s="83">
        <v>3.5</v>
      </c>
      <c r="F20" s="36" t="s">
        <v>261</v>
      </c>
      <c r="G20" s="87">
        <f>SUMIF($A$6:$A$13,F20&amp;"*",$D$6:$D$13)</f>
        <v>95</v>
      </c>
    </row>
    <row r="21" spans="1:7" ht="15.75" x14ac:dyDescent="0.25">
      <c r="A21" s="36" t="s">
        <v>262</v>
      </c>
      <c r="B21" s="1" t="s">
        <v>269</v>
      </c>
      <c r="C21" s="82">
        <v>13</v>
      </c>
      <c r="D21" s="83">
        <v>15</v>
      </c>
      <c r="F21" s="36" t="s">
        <v>262</v>
      </c>
      <c r="G21" s="87">
        <f>SUMIF($A$6:$A$13,F21&amp;"*",$D$6:$D$13)</f>
        <v>120</v>
      </c>
    </row>
    <row r="22" spans="1:7" ht="16.5" thickBot="1" x14ac:dyDescent="0.3">
      <c r="A22" s="61" t="s">
        <v>263</v>
      </c>
      <c r="B22" s="62" t="s">
        <v>270</v>
      </c>
      <c r="C22" s="84">
        <v>27</v>
      </c>
      <c r="D22" s="85">
        <v>30</v>
      </c>
      <c r="F22" s="61" t="s">
        <v>263</v>
      </c>
      <c r="G22" s="88">
        <f>SUMIF($A$6:$A$13,F22&amp;"*",$D$6:$D$13)</f>
        <v>120</v>
      </c>
    </row>
    <row r="23" spans="1:7" ht="15.75" thickTop="1" x14ac:dyDescent="0.25"/>
  </sheetData>
  <mergeCells count="7">
    <mergeCell ref="A4:G4"/>
    <mergeCell ref="A16:A17"/>
    <mergeCell ref="B16:B17"/>
    <mergeCell ref="C16:D16"/>
    <mergeCell ref="A15:D15"/>
    <mergeCell ref="F17:G17"/>
    <mergeCell ref="F16:G1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7"/>
  <sheetViews>
    <sheetView showGridLines="0" workbookViewId="0">
      <selection activeCell="I17" sqref="I17"/>
    </sheetView>
  </sheetViews>
  <sheetFormatPr defaultRowHeight="15" x14ac:dyDescent="0.25"/>
  <cols>
    <col min="3" max="3" width="9.42578125" bestFit="1" customWidth="1"/>
    <col min="4" max="4" width="8.85546875" customWidth="1"/>
    <col min="5" max="5" width="11" customWidth="1"/>
  </cols>
  <sheetData>
    <row r="4" spans="1:8" x14ac:dyDescent="0.25">
      <c r="A4" s="109" t="s">
        <v>271</v>
      </c>
      <c r="B4" s="109"/>
      <c r="C4" s="109"/>
      <c r="D4" s="109"/>
      <c r="E4" s="109"/>
      <c r="F4" s="109"/>
      <c r="G4" s="109"/>
      <c r="H4" s="109"/>
    </row>
    <row r="5" spans="1:8" x14ac:dyDescent="0.25">
      <c r="A5" s="60" t="s">
        <v>272</v>
      </c>
      <c r="B5" s="60" t="s">
        <v>273</v>
      </c>
      <c r="C5" s="60" t="s">
        <v>274</v>
      </c>
      <c r="D5" s="60" t="s">
        <v>275</v>
      </c>
      <c r="E5" s="60" t="s">
        <v>276</v>
      </c>
      <c r="F5" s="60" t="s">
        <v>277</v>
      </c>
      <c r="G5" s="60" t="s">
        <v>121</v>
      </c>
      <c r="H5" s="60" t="s">
        <v>278</v>
      </c>
    </row>
    <row r="6" spans="1:8" x14ac:dyDescent="0.25">
      <c r="A6" s="1" t="s">
        <v>279</v>
      </c>
      <c r="B6" s="93">
        <v>0.54230324074074077</v>
      </c>
      <c r="C6" s="93">
        <v>0.54370370370370369</v>
      </c>
      <c r="D6" s="95">
        <f>HOUR(C6-B6)</f>
        <v>0</v>
      </c>
      <c r="E6" s="94">
        <f>ROUND(VALUE(HOUR(C6-B6)*60+MINUTE(C6-B6)+SECOND(C6-B6)/60),2)</f>
        <v>2.02</v>
      </c>
      <c r="F6" s="1" t="s">
        <v>290</v>
      </c>
      <c r="G6" s="1">
        <f>VLOOKUP(F6,$A$13:$B$16,2,0)</f>
        <v>1000</v>
      </c>
      <c r="H6" s="1">
        <f>E6*G6</f>
        <v>2020</v>
      </c>
    </row>
    <row r="7" spans="1:8" x14ac:dyDescent="0.25">
      <c r="A7" s="1" t="s">
        <v>280</v>
      </c>
      <c r="B7" s="93">
        <v>0.84571759259259249</v>
      </c>
      <c r="C7" s="93">
        <v>0.84653935185185192</v>
      </c>
      <c r="D7" s="95">
        <f>HOUR(C7-B7)</f>
        <v>0</v>
      </c>
      <c r="E7" s="94">
        <f>ROUND(VALUE(HOUR(C7-B7)*60+MINUTE(C7-B7)+SECOND(C7-B7)/60),2)</f>
        <v>1.18</v>
      </c>
      <c r="F7" s="1" t="s">
        <v>285</v>
      </c>
      <c r="G7" s="1">
        <f>VLOOKUP(F7,$A$13:$B$16,2,0)</f>
        <v>1100</v>
      </c>
      <c r="H7" s="1">
        <f>E7*G7</f>
        <v>1298</v>
      </c>
    </row>
    <row r="8" spans="1:8" x14ac:dyDescent="0.25">
      <c r="A8" s="1" t="s">
        <v>281</v>
      </c>
      <c r="B8" s="93">
        <v>0.3439814814814815</v>
      </c>
      <c r="C8" s="93">
        <v>0.35289351851851852</v>
      </c>
      <c r="D8" s="95">
        <f>HOUR(C8-B8)</f>
        <v>0</v>
      </c>
      <c r="E8" s="94">
        <f>ROUND(VALUE(HOUR(C8-B8)*60+MINUTE(C8-B8)+SECOND(C8-B8)/60),2)</f>
        <v>12.83</v>
      </c>
      <c r="F8" s="1" t="s">
        <v>290</v>
      </c>
      <c r="G8" s="1">
        <f>VLOOKUP(F8,$A$13:$B$16,2,0)</f>
        <v>1000</v>
      </c>
      <c r="H8" s="1">
        <f>E8*G8</f>
        <v>12830</v>
      </c>
    </row>
    <row r="9" spans="1:8" x14ac:dyDescent="0.25">
      <c r="A9" s="1" t="s">
        <v>282</v>
      </c>
      <c r="B9" s="93">
        <v>0.59603009259259265</v>
      </c>
      <c r="C9" s="93">
        <v>0.59752314814814811</v>
      </c>
      <c r="D9" s="95">
        <f>HOUR(C9-B9)</f>
        <v>0</v>
      </c>
      <c r="E9" s="94">
        <f>ROUND(VALUE(HOUR(C9-B9)*60+MINUTE(C9-B9)+SECOND(C9-B9)/60),2)</f>
        <v>2.15</v>
      </c>
      <c r="F9" s="1" t="s">
        <v>284</v>
      </c>
      <c r="G9" s="1">
        <f>VLOOKUP(F9,$A$13:$B$16,2,0)</f>
        <v>1100</v>
      </c>
      <c r="H9" s="1">
        <f>E9*G9</f>
        <v>2365</v>
      </c>
    </row>
    <row r="10" spans="1:8" ht="15.75" thickBot="1" x14ac:dyDescent="0.3"/>
    <row r="11" spans="1:8" ht="15.75" thickTop="1" x14ac:dyDescent="0.25">
      <c r="A11" s="131" t="s">
        <v>121</v>
      </c>
      <c r="B11" s="132"/>
      <c r="D11" s="131" t="s">
        <v>264</v>
      </c>
      <c r="E11" s="132"/>
    </row>
    <row r="12" spans="1:8" ht="15.75" thickBot="1" x14ac:dyDescent="0.3">
      <c r="A12" s="89" t="s">
        <v>283</v>
      </c>
      <c r="B12" s="90" t="s">
        <v>61</v>
      </c>
      <c r="D12" s="129" t="s">
        <v>287</v>
      </c>
      <c r="E12" s="130"/>
    </row>
    <row r="13" spans="1:8" ht="15.75" thickTop="1" x14ac:dyDescent="0.25">
      <c r="A13" s="96" t="s">
        <v>284</v>
      </c>
      <c r="B13" s="96">
        <v>1100</v>
      </c>
      <c r="D13" s="36" t="s">
        <v>288</v>
      </c>
      <c r="E13" s="91">
        <f>COUNTIF($F$6:$F$9,D13&amp;"*")</f>
        <v>1</v>
      </c>
    </row>
    <row r="14" spans="1:8" x14ac:dyDescent="0.25">
      <c r="A14" s="1" t="s">
        <v>290</v>
      </c>
      <c r="B14" s="1">
        <v>1000</v>
      </c>
      <c r="D14" s="36" t="s">
        <v>289</v>
      </c>
      <c r="E14" s="91">
        <f>COUNTIF($F$6:$F$9,D14&amp;"*")</f>
        <v>2</v>
      </c>
    </row>
    <row r="15" spans="1:8" x14ac:dyDescent="0.25">
      <c r="A15" s="1" t="s">
        <v>285</v>
      </c>
      <c r="B15" s="1">
        <v>1100</v>
      </c>
      <c r="D15" s="36" t="s">
        <v>285</v>
      </c>
      <c r="E15" s="91">
        <f>COUNTIF($F$6:$F$9,D15&amp;"*")</f>
        <v>1</v>
      </c>
    </row>
    <row r="16" spans="1:8" ht="15.75" thickBot="1" x14ac:dyDescent="0.3">
      <c r="A16" s="1" t="s">
        <v>286</v>
      </c>
      <c r="B16" s="1">
        <v>3250</v>
      </c>
      <c r="D16" s="61" t="s">
        <v>286</v>
      </c>
      <c r="E16" s="92">
        <f>COUNTIF($F$6:$F$9,D16&amp;"*")</f>
        <v>0</v>
      </c>
    </row>
    <row r="17" ht="15.75" thickTop="1" x14ac:dyDescent="0.25"/>
  </sheetData>
  <mergeCells count="4">
    <mergeCell ref="A11:B11"/>
    <mergeCell ref="D12:E12"/>
    <mergeCell ref="D11:E11"/>
    <mergeCell ref="A4:H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32"/>
  <sheetViews>
    <sheetView showGridLines="0" topLeftCell="K14" workbookViewId="0">
      <selection activeCell="R16" sqref="R16"/>
    </sheetView>
  </sheetViews>
  <sheetFormatPr defaultRowHeight="15" x14ac:dyDescent="0.25"/>
  <cols>
    <col min="4" max="4" width="8.5703125" bestFit="1" customWidth="1"/>
  </cols>
  <sheetData>
    <row r="4" spans="1:13" x14ac:dyDescent="0.25">
      <c r="A4" s="109" t="s">
        <v>291</v>
      </c>
      <c r="B4" s="109"/>
      <c r="C4" s="109"/>
      <c r="D4" s="109"/>
      <c r="E4" s="98"/>
      <c r="F4" s="109" t="s">
        <v>297</v>
      </c>
      <c r="G4" s="109"/>
      <c r="H4" s="109"/>
      <c r="I4" s="109"/>
      <c r="J4" s="109"/>
    </row>
    <row r="5" spans="1:13" ht="30" x14ac:dyDescent="0.25">
      <c r="A5" s="59" t="s">
        <v>292</v>
      </c>
      <c r="B5" s="59" t="s">
        <v>293</v>
      </c>
      <c r="C5" s="59" t="s">
        <v>294</v>
      </c>
      <c r="D5" s="59" t="s">
        <v>296</v>
      </c>
      <c r="E5" s="57"/>
      <c r="F5" s="59" t="s">
        <v>292</v>
      </c>
      <c r="G5" s="59" t="s">
        <v>173</v>
      </c>
      <c r="H5" s="59" t="s">
        <v>174</v>
      </c>
      <c r="I5" s="59" t="s">
        <v>175</v>
      </c>
      <c r="J5" s="59" t="s">
        <v>176</v>
      </c>
      <c r="K5" s="21"/>
    </row>
    <row r="6" spans="1:13" x14ac:dyDescent="0.25">
      <c r="A6" s="1" t="s">
        <v>173</v>
      </c>
      <c r="B6" s="1" t="s">
        <v>299</v>
      </c>
      <c r="C6" s="1">
        <v>19</v>
      </c>
      <c r="D6" s="1">
        <v>20</v>
      </c>
      <c r="F6" s="1" t="s">
        <v>298</v>
      </c>
      <c r="G6" s="1">
        <v>25</v>
      </c>
      <c r="H6" s="1">
        <v>23</v>
      </c>
      <c r="I6" s="1">
        <v>21</v>
      </c>
      <c r="J6" s="1">
        <v>19</v>
      </c>
    </row>
    <row r="7" spans="1:13" x14ac:dyDescent="0.25">
      <c r="A7" s="1" t="s">
        <v>174</v>
      </c>
      <c r="B7" s="1" t="s">
        <v>300</v>
      </c>
      <c r="C7" s="1">
        <v>17</v>
      </c>
      <c r="D7" s="1">
        <v>18</v>
      </c>
    </row>
    <row r="8" spans="1:13" x14ac:dyDescent="0.25">
      <c r="A8" s="1" t="s">
        <v>175</v>
      </c>
      <c r="B8" s="1" t="s">
        <v>301</v>
      </c>
      <c r="C8" s="1">
        <v>15</v>
      </c>
      <c r="D8" s="1">
        <v>16</v>
      </c>
    </row>
    <row r="9" spans="1:13" x14ac:dyDescent="0.25">
      <c r="A9" s="1" t="s">
        <v>176</v>
      </c>
      <c r="B9" s="1" t="s">
        <v>244</v>
      </c>
      <c r="C9" s="1">
        <v>13</v>
      </c>
      <c r="D9" s="1">
        <v>14</v>
      </c>
    </row>
    <row r="10" spans="1:13" x14ac:dyDescent="0.25">
      <c r="A10" s="133" t="s">
        <v>302</v>
      </c>
      <c r="B10" s="133"/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</row>
    <row r="11" spans="1:13" s="58" customFormat="1" ht="30" x14ac:dyDescent="0.25">
      <c r="A11" s="59" t="s">
        <v>314</v>
      </c>
      <c r="B11" s="60" t="s">
        <v>1</v>
      </c>
      <c r="C11" s="60" t="s">
        <v>2</v>
      </c>
      <c r="D11" s="59" t="s">
        <v>293</v>
      </c>
      <c r="E11" s="60" t="s">
        <v>315</v>
      </c>
      <c r="F11" s="60" t="s">
        <v>316</v>
      </c>
      <c r="G11" s="60" t="s">
        <v>243</v>
      </c>
      <c r="H11" s="60" t="s">
        <v>244</v>
      </c>
      <c r="I11" s="59" t="s">
        <v>295</v>
      </c>
      <c r="J11" s="59" t="s">
        <v>320</v>
      </c>
      <c r="K11" s="59" t="s">
        <v>317</v>
      </c>
      <c r="L11" s="59" t="s">
        <v>318</v>
      </c>
      <c r="M11" s="60" t="s">
        <v>319</v>
      </c>
    </row>
    <row r="12" spans="1:13" ht="15.75" x14ac:dyDescent="0.25">
      <c r="A12" s="1" t="s">
        <v>321</v>
      </c>
      <c r="B12" s="1" t="s">
        <v>309</v>
      </c>
      <c r="C12" s="1" t="s">
        <v>303</v>
      </c>
      <c r="D12" s="17" t="str">
        <f t="shared" ref="D12:D19" si="0">VLOOKUP(LEFT(A12,1),$A$6:$B$9,2,0)</f>
        <v>Cơ khí</v>
      </c>
      <c r="E12" s="17" t="str">
        <f t="shared" ref="E12:E19" si="1">MID(A12,2,1)</f>
        <v>2</v>
      </c>
      <c r="F12" s="73">
        <v>2</v>
      </c>
      <c r="G12" s="73">
        <v>6</v>
      </c>
      <c r="H12" s="73">
        <v>3</v>
      </c>
      <c r="I12" s="97">
        <f t="shared" ref="I12:I19" si="2">VLOOKUP(LEFT(A12,1),$A$6:$D$9,IF(E12="1",3,4),0)</f>
        <v>16</v>
      </c>
      <c r="J12" s="97">
        <f t="shared" ref="J12:J19" si="3">SUM(F12:H12)</f>
        <v>11</v>
      </c>
      <c r="K12" s="17" t="str">
        <f t="shared" ref="K12:K19" si="4">IF(J12&gt;I12,"Đậu","Rớt")</f>
        <v>Rớt</v>
      </c>
      <c r="L12" s="17">
        <f t="shared" ref="L12:L19" si="5">HLOOKUP(LEFT(A12,1),$G$5:$J$6,2,0)</f>
        <v>21</v>
      </c>
      <c r="M12" s="17" t="str">
        <f t="shared" ref="M12:M19" si="6">IF(J12&gt;=L12,"Có", " ")</f>
        <v xml:space="preserve"> </v>
      </c>
    </row>
    <row r="13" spans="1:13" ht="15.75" x14ac:dyDescent="0.25">
      <c r="A13" s="1" t="s">
        <v>322</v>
      </c>
      <c r="B13" s="1" t="s">
        <v>310</v>
      </c>
      <c r="C13" s="1" t="s">
        <v>103</v>
      </c>
      <c r="D13" s="17" t="str">
        <f t="shared" si="0"/>
        <v>Máy tính</v>
      </c>
      <c r="E13" s="17" t="str">
        <f t="shared" si="1"/>
        <v>2</v>
      </c>
      <c r="F13" s="73">
        <v>4</v>
      </c>
      <c r="G13" s="73">
        <v>3</v>
      </c>
      <c r="H13" s="73">
        <v>5</v>
      </c>
      <c r="I13" s="97">
        <f t="shared" si="2"/>
        <v>20</v>
      </c>
      <c r="J13" s="97">
        <f t="shared" si="3"/>
        <v>12</v>
      </c>
      <c r="K13" s="17" t="str">
        <f t="shared" si="4"/>
        <v>Rớt</v>
      </c>
      <c r="L13" s="17">
        <f t="shared" si="5"/>
        <v>25</v>
      </c>
      <c r="M13" s="17" t="str">
        <f t="shared" si="6"/>
        <v xml:space="preserve"> </v>
      </c>
    </row>
    <row r="14" spans="1:13" ht="15.75" x14ac:dyDescent="0.25">
      <c r="A14" s="1" t="s">
        <v>323</v>
      </c>
      <c r="B14" s="1" t="s">
        <v>311</v>
      </c>
      <c r="C14" s="1" t="s">
        <v>304</v>
      </c>
      <c r="D14" s="17" t="str">
        <f t="shared" si="0"/>
        <v>Máy tính</v>
      </c>
      <c r="E14" s="17" t="str">
        <f t="shared" si="1"/>
        <v>2</v>
      </c>
      <c r="F14" s="73">
        <v>5</v>
      </c>
      <c r="G14" s="73">
        <v>4</v>
      </c>
      <c r="H14" s="73">
        <v>4</v>
      </c>
      <c r="I14" s="97">
        <f t="shared" si="2"/>
        <v>20</v>
      </c>
      <c r="J14" s="97">
        <f t="shared" si="3"/>
        <v>13</v>
      </c>
      <c r="K14" s="17" t="str">
        <f t="shared" si="4"/>
        <v>Rớt</v>
      </c>
      <c r="L14" s="17">
        <f t="shared" si="5"/>
        <v>25</v>
      </c>
      <c r="M14" s="17" t="str">
        <f t="shared" si="6"/>
        <v xml:space="preserve"> </v>
      </c>
    </row>
    <row r="15" spans="1:13" ht="15.75" x14ac:dyDescent="0.25">
      <c r="A15" s="1" t="s">
        <v>325</v>
      </c>
      <c r="B15" s="1" t="s">
        <v>312</v>
      </c>
      <c r="C15" s="1" t="s">
        <v>305</v>
      </c>
      <c r="D15" s="17" t="str">
        <f t="shared" si="0"/>
        <v>Điện tử</v>
      </c>
      <c r="E15" s="17" t="str">
        <f t="shared" si="1"/>
        <v>1</v>
      </c>
      <c r="F15" s="73">
        <v>6</v>
      </c>
      <c r="G15" s="73">
        <v>5</v>
      </c>
      <c r="H15" s="73">
        <v>5</v>
      </c>
      <c r="I15" s="97">
        <f t="shared" si="2"/>
        <v>17</v>
      </c>
      <c r="J15" s="97">
        <f t="shared" si="3"/>
        <v>16</v>
      </c>
      <c r="K15" s="17" t="str">
        <f t="shared" si="4"/>
        <v>Rớt</v>
      </c>
      <c r="L15" s="17">
        <f t="shared" si="5"/>
        <v>23</v>
      </c>
      <c r="M15" s="17" t="str">
        <f t="shared" si="6"/>
        <v xml:space="preserve"> </v>
      </c>
    </row>
    <row r="16" spans="1:13" ht="15.75" x14ac:dyDescent="0.25">
      <c r="A16" s="1" t="s">
        <v>326</v>
      </c>
      <c r="B16" s="1" t="s">
        <v>104</v>
      </c>
      <c r="C16" s="1" t="s">
        <v>306</v>
      </c>
      <c r="D16" s="17" t="str">
        <f t="shared" si="0"/>
        <v>Hóa</v>
      </c>
      <c r="E16" s="17" t="str">
        <f t="shared" si="1"/>
        <v>1</v>
      </c>
      <c r="F16" s="73">
        <v>8</v>
      </c>
      <c r="G16" s="73">
        <v>6</v>
      </c>
      <c r="H16" s="73">
        <v>5</v>
      </c>
      <c r="I16" s="97">
        <f t="shared" si="2"/>
        <v>13</v>
      </c>
      <c r="J16" s="97">
        <f t="shared" si="3"/>
        <v>19</v>
      </c>
      <c r="K16" s="17" t="str">
        <f t="shared" si="4"/>
        <v>Đậu</v>
      </c>
      <c r="L16" s="17">
        <f t="shared" si="5"/>
        <v>19</v>
      </c>
      <c r="M16" s="17" t="str">
        <f t="shared" si="6"/>
        <v>Có</v>
      </c>
    </row>
    <row r="17" spans="1:13" ht="15.75" x14ac:dyDescent="0.25">
      <c r="A17" s="1" t="s">
        <v>324</v>
      </c>
      <c r="B17" s="1" t="s">
        <v>104</v>
      </c>
      <c r="C17" s="1" t="s">
        <v>24</v>
      </c>
      <c r="D17" s="17" t="str">
        <f t="shared" si="0"/>
        <v>Máy tính</v>
      </c>
      <c r="E17" s="17" t="str">
        <f t="shared" si="1"/>
        <v>1</v>
      </c>
      <c r="F17" s="73">
        <v>5</v>
      </c>
      <c r="G17" s="73">
        <v>8</v>
      </c>
      <c r="H17" s="73">
        <v>7</v>
      </c>
      <c r="I17" s="97">
        <f t="shared" si="2"/>
        <v>19</v>
      </c>
      <c r="J17" s="97">
        <f t="shared" si="3"/>
        <v>20</v>
      </c>
      <c r="K17" s="17" t="str">
        <f t="shared" si="4"/>
        <v>Đậu</v>
      </c>
      <c r="L17" s="17">
        <f t="shared" si="5"/>
        <v>25</v>
      </c>
      <c r="M17" s="17" t="str">
        <f t="shared" si="6"/>
        <v xml:space="preserve"> </v>
      </c>
    </row>
    <row r="18" spans="1:13" ht="15.75" x14ac:dyDescent="0.25">
      <c r="A18" s="1" t="s">
        <v>327</v>
      </c>
      <c r="B18" s="1" t="s">
        <v>313</v>
      </c>
      <c r="C18" s="1" t="s">
        <v>307</v>
      </c>
      <c r="D18" s="17" t="str">
        <f t="shared" si="0"/>
        <v>Hóa</v>
      </c>
      <c r="E18" s="17" t="str">
        <f t="shared" si="1"/>
        <v>2</v>
      </c>
      <c r="F18" s="73">
        <v>9</v>
      </c>
      <c r="G18" s="73">
        <v>9</v>
      </c>
      <c r="H18" s="73">
        <v>7</v>
      </c>
      <c r="I18" s="97">
        <f t="shared" si="2"/>
        <v>14</v>
      </c>
      <c r="J18" s="97">
        <f t="shared" si="3"/>
        <v>25</v>
      </c>
      <c r="K18" s="17" t="str">
        <f t="shared" si="4"/>
        <v>Đậu</v>
      </c>
      <c r="L18" s="17">
        <f t="shared" si="5"/>
        <v>19</v>
      </c>
      <c r="M18" s="17" t="str">
        <f t="shared" si="6"/>
        <v>Có</v>
      </c>
    </row>
    <row r="19" spans="1:13" ht="15.75" x14ac:dyDescent="0.25">
      <c r="A19" s="1" t="s">
        <v>328</v>
      </c>
      <c r="B19" s="1" t="s">
        <v>100</v>
      </c>
      <c r="C19" s="1" t="s">
        <v>308</v>
      </c>
      <c r="D19" s="17" t="str">
        <f t="shared" si="0"/>
        <v>Cơ khí</v>
      </c>
      <c r="E19" s="17" t="str">
        <f t="shared" si="1"/>
        <v>1</v>
      </c>
      <c r="F19" s="73">
        <v>10</v>
      </c>
      <c r="G19" s="73">
        <v>8</v>
      </c>
      <c r="H19" s="73">
        <v>8</v>
      </c>
      <c r="I19" s="97">
        <f t="shared" si="2"/>
        <v>15</v>
      </c>
      <c r="J19" s="97">
        <f t="shared" si="3"/>
        <v>26</v>
      </c>
      <c r="K19" s="17" t="str">
        <f t="shared" si="4"/>
        <v>Đậu</v>
      </c>
      <c r="L19" s="17">
        <f t="shared" si="5"/>
        <v>21</v>
      </c>
      <c r="M19" s="17" t="str">
        <f t="shared" si="6"/>
        <v>Có</v>
      </c>
    </row>
    <row r="22" spans="1:13" ht="45" x14ac:dyDescent="0.25">
      <c r="D22" s="59" t="s">
        <v>329</v>
      </c>
      <c r="E22" s="59" t="s">
        <v>330</v>
      </c>
      <c r="F22" s="59" t="s">
        <v>331</v>
      </c>
    </row>
    <row r="23" spans="1:13" x14ac:dyDescent="0.25">
      <c r="D23" s="17">
        <f>COUNTIF($K$12:$K$20,"Đậu")</f>
        <v>4</v>
      </c>
      <c r="E23" s="17">
        <f>COUNTIF($K$12:$K$20,"Rớt")</f>
        <v>4</v>
      </c>
      <c r="F23" s="17">
        <f>COUNTIF($M$12:$M$19,"Có")</f>
        <v>3</v>
      </c>
    </row>
    <row r="26" spans="1:13" ht="30" x14ac:dyDescent="0.25">
      <c r="A26" s="59" t="s">
        <v>314</v>
      </c>
    </row>
    <row r="27" spans="1:13" x14ac:dyDescent="0.25">
      <c r="A27" s="1" t="s">
        <v>332</v>
      </c>
    </row>
    <row r="28" spans="1:13" x14ac:dyDescent="0.25">
      <c r="A28" s="112" t="s">
        <v>333</v>
      </c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</row>
    <row r="29" spans="1:13" ht="30" x14ac:dyDescent="0.25">
      <c r="A29" s="59" t="s">
        <v>314</v>
      </c>
      <c r="B29" s="60" t="s">
        <v>1</v>
      </c>
      <c r="C29" s="60" t="s">
        <v>2</v>
      </c>
      <c r="D29" s="59" t="s">
        <v>293</v>
      </c>
      <c r="E29" s="60" t="s">
        <v>315</v>
      </c>
      <c r="F29" s="60" t="s">
        <v>316</v>
      </c>
      <c r="G29" s="60" t="s">
        <v>243</v>
      </c>
      <c r="H29" s="60" t="s">
        <v>244</v>
      </c>
      <c r="I29" s="59" t="s">
        <v>295</v>
      </c>
      <c r="J29" s="59" t="s">
        <v>320</v>
      </c>
      <c r="K29" s="59" t="s">
        <v>317</v>
      </c>
      <c r="L29" s="59" t="s">
        <v>318</v>
      </c>
      <c r="M29" s="60" t="s">
        <v>319</v>
      </c>
    </row>
    <row r="30" spans="1:13" ht="15.75" x14ac:dyDescent="0.25">
      <c r="A30" s="1" t="s">
        <v>322</v>
      </c>
      <c r="B30" s="1" t="s">
        <v>310</v>
      </c>
      <c r="C30" s="1" t="s">
        <v>103</v>
      </c>
      <c r="D30" s="1" t="str">
        <f>VLOOKUP(LEFT(A30,1),$A$6:$B$9,2,0)</f>
        <v>Máy tính</v>
      </c>
      <c r="E30" s="1" t="str">
        <f>MID(A30,2,1)</f>
        <v>2</v>
      </c>
      <c r="F30" s="73">
        <v>4</v>
      </c>
      <c r="G30" s="73">
        <v>3</v>
      </c>
      <c r="H30" s="73">
        <v>5</v>
      </c>
      <c r="I30" s="73">
        <f>VLOOKUP(LEFT(A30,1),$A$6:$D$9,IF(E30="1",3,4),0)</f>
        <v>20</v>
      </c>
      <c r="J30" s="73">
        <f>SUM(F30:H30)</f>
        <v>12</v>
      </c>
      <c r="K30" s="1" t="str">
        <f>IF(J30&gt;I30,"Đậu","Rớt")</f>
        <v>Rớt</v>
      </c>
      <c r="L30" s="1">
        <f>HLOOKUP(LEFT(A30,1),$G$5:$J$6,2,0)</f>
        <v>25</v>
      </c>
      <c r="M30" s="1" t="str">
        <f>IF(J30&gt;=L30,"Có", " ")</f>
        <v xml:space="preserve"> </v>
      </c>
    </row>
    <row r="31" spans="1:13" ht="15.75" x14ac:dyDescent="0.25">
      <c r="A31" s="1" t="s">
        <v>323</v>
      </c>
      <c r="B31" s="1" t="s">
        <v>311</v>
      </c>
      <c r="C31" s="1" t="s">
        <v>304</v>
      </c>
      <c r="D31" s="1" t="str">
        <f>VLOOKUP(LEFT(A31,1),$A$6:$B$9,2,0)</f>
        <v>Máy tính</v>
      </c>
      <c r="E31" s="1" t="str">
        <f>MID(A31,2,1)</f>
        <v>2</v>
      </c>
      <c r="F31" s="73">
        <v>5</v>
      </c>
      <c r="G31" s="73">
        <v>4</v>
      </c>
      <c r="H31" s="73">
        <v>4</v>
      </c>
      <c r="I31" s="73">
        <f>VLOOKUP(LEFT(A31,1),$A$6:$D$9,IF(E31="1",3,4),0)</f>
        <v>20</v>
      </c>
      <c r="J31" s="73">
        <f>SUM(F31:H31)</f>
        <v>13</v>
      </c>
      <c r="K31" s="1" t="str">
        <f>IF(J31&gt;I31,"Đậu","Rớt")</f>
        <v>Rớt</v>
      </c>
      <c r="L31" s="1">
        <f>HLOOKUP(LEFT(A31,1),$G$5:$J$6,2,0)</f>
        <v>25</v>
      </c>
      <c r="M31" s="1" t="str">
        <f>IF(J31&gt;=L31,"Có", " ")</f>
        <v xml:space="preserve"> </v>
      </c>
    </row>
    <row r="32" spans="1:13" ht="15.75" x14ac:dyDescent="0.25">
      <c r="A32" s="1" t="s">
        <v>324</v>
      </c>
      <c r="B32" s="1" t="s">
        <v>104</v>
      </c>
      <c r="C32" s="1" t="s">
        <v>24</v>
      </c>
      <c r="D32" s="1" t="str">
        <f>VLOOKUP(LEFT(A32,1),$A$6:$B$9,2,0)</f>
        <v>Máy tính</v>
      </c>
      <c r="E32" s="1" t="str">
        <f>MID(A32,2,1)</f>
        <v>1</v>
      </c>
      <c r="F32" s="73">
        <v>5</v>
      </c>
      <c r="G32" s="73">
        <v>8</v>
      </c>
      <c r="H32" s="73">
        <v>7</v>
      </c>
      <c r="I32" s="73">
        <f>VLOOKUP(LEFT(A32,1),$A$6:$D$9,IF(E32="1",3,4),0)</f>
        <v>19</v>
      </c>
      <c r="J32" s="73">
        <f>SUM(F32:H32)</f>
        <v>20</v>
      </c>
      <c r="K32" s="1" t="str">
        <f>IF(J32&gt;I32,"Đậu","Rớt")</f>
        <v>Đậu</v>
      </c>
      <c r="L32" s="1">
        <f>HLOOKUP(LEFT(A32,1),$G$5:$J$6,2,0)</f>
        <v>25</v>
      </c>
      <c r="M32" s="1" t="str">
        <f>IF(J32&gt;=L32,"Có", " ")</f>
        <v xml:space="preserve"> </v>
      </c>
    </row>
  </sheetData>
  <mergeCells count="4">
    <mergeCell ref="A10:M10"/>
    <mergeCell ref="F4:J4"/>
    <mergeCell ref="A4:D4"/>
    <mergeCell ref="A28:M28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showGridLines="0" showRowColHeaders="0" tabSelected="1" workbookViewId="0">
      <selection activeCell="M5" sqref="M5"/>
    </sheetView>
  </sheetViews>
  <sheetFormatPr defaultRowHeight="15" x14ac:dyDescent="0.25"/>
  <cols>
    <col min="1" max="1" width="10" bestFit="1" customWidth="1"/>
    <col min="2" max="2" width="10.28515625" bestFit="1" customWidth="1"/>
    <col min="4" max="4" width="10.5703125" bestFit="1" customWidth="1"/>
    <col min="5" max="5" width="11.85546875" bestFit="1" customWidth="1"/>
    <col min="6" max="6" width="8" bestFit="1" customWidth="1"/>
    <col min="7" max="7" width="8.42578125" bestFit="1" customWidth="1"/>
    <col min="8" max="9" width="8" bestFit="1" customWidth="1"/>
  </cols>
  <sheetData>
    <row r="1" spans="1:11" x14ac:dyDescent="0.25">
      <c r="A1" s="112" t="s">
        <v>334</v>
      </c>
      <c r="B1" s="112"/>
      <c r="C1" s="112"/>
      <c r="D1" s="112"/>
      <c r="E1" s="112"/>
      <c r="F1" s="112"/>
      <c r="G1" s="112"/>
      <c r="H1" s="112"/>
    </row>
    <row r="2" spans="1:11" ht="30" x14ac:dyDescent="0.25">
      <c r="A2" s="100" t="s">
        <v>0</v>
      </c>
      <c r="B2" s="101" t="s">
        <v>139</v>
      </c>
      <c r="C2" s="101" t="s">
        <v>335</v>
      </c>
      <c r="D2" s="100" t="s">
        <v>336</v>
      </c>
      <c r="E2" s="101" t="s">
        <v>337</v>
      </c>
      <c r="F2" s="101" t="s">
        <v>338</v>
      </c>
      <c r="G2" s="101" t="s">
        <v>339</v>
      </c>
      <c r="H2" s="101" t="s">
        <v>182</v>
      </c>
    </row>
    <row r="3" spans="1:11" x14ac:dyDescent="0.25">
      <c r="A3" s="43">
        <v>1</v>
      </c>
      <c r="B3" s="39" t="s">
        <v>340</v>
      </c>
      <c r="C3" s="74" t="str">
        <f>VLOOKUP(B3,$A$16:$B$19,2,0)</f>
        <v xml:space="preserve">Sắt </v>
      </c>
      <c r="D3" s="106">
        <f>DATE(2015,1,15)</f>
        <v>42019</v>
      </c>
      <c r="E3" s="43">
        <v>50</v>
      </c>
      <c r="F3" s="44">
        <f>VLOOKUP(B3,$A$16:$C$19,3,0)</f>
        <v>5000</v>
      </c>
      <c r="G3" s="107">
        <f>IF(E3&gt;100,0.05,0)*F3</f>
        <v>0</v>
      </c>
      <c r="H3" s="44">
        <f>(E3*F3)-G3</f>
        <v>250000</v>
      </c>
    </row>
    <row r="4" spans="1:11" x14ac:dyDescent="0.25">
      <c r="A4" s="43">
        <v>2</v>
      </c>
      <c r="B4" s="39" t="s">
        <v>175</v>
      </c>
      <c r="C4" s="74" t="str">
        <f t="shared" ref="C4:C12" si="0">VLOOKUP(B4,$A$16:$B$19,2,0)</f>
        <v>Đồng</v>
      </c>
      <c r="D4" s="106">
        <f>DATE(2015,2,10)</f>
        <v>42045</v>
      </c>
      <c r="E4" s="43">
        <v>100</v>
      </c>
      <c r="F4" s="44">
        <f t="shared" ref="F4:F12" si="1">VLOOKUP(B4,$A$16:$C$19,3,0)</f>
        <v>3000</v>
      </c>
      <c r="G4" s="107">
        <f t="shared" ref="G4:G12" si="2">IF(E4&gt;100,0.05,0)*F4</f>
        <v>0</v>
      </c>
      <c r="H4" s="44">
        <f t="shared" ref="H4:H12" si="3">(E4*F4)-G4</f>
        <v>300000</v>
      </c>
      <c r="K4" s="135"/>
    </row>
    <row r="5" spans="1:11" x14ac:dyDescent="0.25">
      <c r="A5" s="43">
        <v>3</v>
      </c>
      <c r="B5" s="39" t="s">
        <v>341</v>
      </c>
      <c r="C5" s="74" t="str">
        <f t="shared" si="0"/>
        <v>Xi măng</v>
      </c>
      <c r="D5" s="106">
        <v>42114</v>
      </c>
      <c r="E5" s="43">
        <v>200</v>
      </c>
      <c r="F5" s="44">
        <f t="shared" si="1"/>
        <v>8000</v>
      </c>
      <c r="G5" s="107">
        <f t="shared" si="2"/>
        <v>400</v>
      </c>
      <c r="H5" s="44">
        <f t="shared" si="3"/>
        <v>1599600</v>
      </c>
    </row>
    <row r="6" spans="1:11" x14ac:dyDescent="0.25">
      <c r="A6" s="43">
        <v>4</v>
      </c>
      <c r="B6" s="39" t="s">
        <v>340</v>
      </c>
      <c r="C6" s="74" t="str">
        <f t="shared" si="0"/>
        <v xml:space="preserve">Sắt </v>
      </c>
      <c r="D6" s="106">
        <v>42093</v>
      </c>
      <c r="E6" s="43">
        <v>20</v>
      </c>
      <c r="F6" s="44">
        <f t="shared" si="1"/>
        <v>5000</v>
      </c>
      <c r="G6" s="107">
        <f t="shared" si="2"/>
        <v>0</v>
      </c>
      <c r="H6" s="44">
        <f t="shared" si="3"/>
        <v>100000</v>
      </c>
    </row>
    <row r="7" spans="1:11" x14ac:dyDescent="0.25">
      <c r="A7" s="43">
        <v>5</v>
      </c>
      <c r="B7" s="39" t="s">
        <v>175</v>
      </c>
      <c r="C7" s="74" t="str">
        <f t="shared" si="0"/>
        <v>Đồng</v>
      </c>
      <c r="D7" s="106">
        <v>42114</v>
      </c>
      <c r="E7" s="43">
        <v>50</v>
      </c>
      <c r="F7" s="44">
        <f t="shared" si="1"/>
        <v>3000</v>
      </c>
      <c r="G7" s="107">
        <f t="shared" si="2"/>
        <v>0</v>
      </c>
      <c r="H7" s="44">
        <f t="shared" si="3"/>
        <v>150000</v>
      </c>
    </row>
    <row r="8" spans="1:11" x14ac:dyDescent="0.25">
      <c r="A8" s="43">
        <v>6</v>
      </c>
      <c r="B8" s="39" t="s">
        <v>173</v>
      </c>
      <c r="C8" s="74" t="str">
        <f t="shared" si="0"/>
        <v>Nhôm</v>
      </c>
      <c r="D8" s="106">
        <v>42045</v>
      </c>
      <c r="E8" s="43">
        <v>30</v>
      </c>
      <c r="F8" s="44">
        <f t="shared" si="1"/>
        <v>7000</v>
      </c>
      <c r="G8" s="107">
        <f t="shared" si="2"/>
        <v>0</v>
      </c>
      <c r="H8" s="44">
        <f t="shared" si="3"/>
        <v>210000</v>
      </c>
    </row>
    <row r="9" spans="1:11" x14ac:dyDescent="0.25">
      <c r="A9" s="43">
        <v>7</v>
      </c>
      <c r="B9" s="39" t="s">
        <v>341</v>
      </c>
      <c r="C9" s="74" t="str">
        <f t="shared" si="0"/>
        <v>Xi măng</v>
      </c>
      <c r="D9" s="106">
        <v>42005</v>
      </c>
      <c r="E9" s="43">
        <v>50</v>
      </c>
      <c r="F9" s="44">
        <f t="shared" si="1"/>
        <v>8000</v>
      </c>
      <c r="G9" s="107">
        <f t="shared" si="2"/>
        <v>0</v>
      </c>
      <c r="H9" s="44">
        <f t="shared" si="3"/>
        <v>400000</v>
      </c>
      <c r="K9" s="99"/>
    </row>
    <row r="10" spans="1:11" x14ac:dyDescent="0.25">
      <c r="A10" s="43">
        <v>8</v>
      </c>
      <c r="B10" s="39" t="s">
        <v>340</v>
      </c>
      <c r="C10" s="74" t="str">
        <f t="shared" si="0"/>
        <v xml:space="preserve">Sắt </v>
      </c>
      <c r="D10" s="106">
        <v>42009</v>
      </c>
      <c r="E10" s="43">
        <v>90</v>
      </c>
      <c r="F10" s="44">
        <f t="shared" si="1"/>
        <v>5000</v>
      </c>
      <c r="G10" s="107">
        <f t="shared" si="2"/>
        <v>0</v>
      </c>
      <c r="H10" s="44">
        <f t="shared" si="3"/>
        <v>450000</v>
      </c>
    </row>
    <row r="11" spans="1:11" x14ac:dyDescent="0.25">
      <c r="A11" s="43">
        <v>9</v>
      </c>
      <c r="B11" s="39" t="s">
        <v>173</v>
      </c>
      <c r="C11" s="74" t="str">
        <f t="shared" si="0"/>
        <v>Nhôm</v>
      </c>
      <c r="D11" s="106">
        <v>42088</v>
      </c>
      <c r="E11" s="43">
        <v>110</v>
      </c>
      <c r="F11" s="44">
        <f t="shared" si="1"/>
        <v>7000</v>
      </c>
      <c r="G11" s="107">
        <f t="shared" si="2"/>
        <v>350</v>
      </c>
      <c r="H11" s="44">
        <f t="shared" si="3"/>
        <v>769650</v>
      </c>
    </row>
    <row r="12" spans="1:11" x14ac:dyDescent="0.25">
      <c r="A12" s="43">
        <v>10</v>
      </c>
      <c r="B12" s="39" t="s">
        <v>340</v>
      </c>
      <c r="C12" s="74" t="str">
        <f t="shared" si="0"/>
        <v xml:space="preserve">Sắt </v>
      </c>
      <c r="D12" s="106">
        <v>42055</v>
      </c>
      <c r="E12" s="43">
        <v>70</v>
      </c>
      <c r="F12" s="44">
        <f t="shared" si="1"/>
        <v>5000</v>
      </c>
      <c r="G12" s="107">
        <f t="shared" si="2"/>
        <v>0</v>
      </c>
      <c r="H12" s="44">
        <f t="shared" si="3"/>
        <v>350000</v>
      </c>
    </row>
    <row r="14" spans="1:11" x14ac:dyDescent="0.25">
      <c r="A14" s="112" t="s">
        <v>342</v>
      </c>
      <c r="B14" s="112"/>
      <c r="C14" s="112"/>
      <c r="E14" s="134" t="s">
        <v>349</v>
      </c>
      <c r="F14" s="134"/>
      <c r="G14" s="134"/>
      <c r="H14" s="134"/>
      <c r="I14" s="134"/>
    </row>
    <row r="15" spans="1:11" ht="45" x14ac:dyDescent="0.25">
      <c r="A15" s="104" t="s">
        <v>343</v>
      </c>
      <c r="B15" s="104" t="s">
        <v>119</v>
      </c>
      <c r="C15" s="105" t="s">
        <v>344</v>
      </c>
      <c r="E15" s="102" t="s">
        <v>350</v>
      </c>
      <c r="F15" s="103">
        <v>1</v>
      </c>
      <c r="G15" s="103">
        <v>2</v>
      </c>
      <c r="H15" s="103">
        <v>3</v>
      </c>
      <c r="I15" s="103">
        <v>4</v>
      </c>
    </row>
    <row r="16" spans="1:11" x14ac:dyDescent="0.25">
      <c r="A16" s="39" t="s">
        <v>340</v>
      </c>
      <c r="B16" s="39" t="s">
        <v>345</v>
      </c>
      <c r="C16" s="108">
        <v>5000</v>
      </c>
      <c r="E16" s="102" t="s">
        <v>351</v>
      </c>
      <c r="F16" s="44">
        <f>SUMPRODUCT((MONTH($D$3:$D$12)=F15)*$H$3:$H$12)</f>
        <v>1100000</v>
      </c>
      <c r="G16" s="44">
        <f>SUMPRODUCT((MONTH($D$3:$D$12)=G15)*$H$3:$H$12)</f>
        <v>860000</v>
      </c>
      <c r="H16" s="44">
        <f>SUMPRODUCT((MONTH($D$3:$D$12)=H15)*$H$3:$H$12)</f>
        <v>869650</v>
      </c>
      <c r="I16" s="44">
        <f>SUMPRODUCT((MONTH($D$3:$D$12)=I15)*$H$3:$H$12)</f>
        <v>1749600</v>
      </c>
    </row>
    <row r="17" spans="1:3" x14ac:dyDescent="0.25">
      <c r="A17" s="39" t="s">
        <v>173</v>
      </c>
      <c r="B17" s="39" t="s">
        <v>346</v>
      </c>
      <c r="C17" s="108">
        <v>7000</v>
      </c>
    </row>
    <row r="18" spans="1:3" x14ac:dyDescent="0.25">
      <c r="A18" s="39" t="s">
        <v>175</v>
      </c>
      <c r="B18" s="39" t="s">
        <v>347</v>
      </c>
      <c r="C18" s="108">
        <v>3000</v>
      </c>
    </row>
    <row r="19" spans="1:3" x14ac:dyDescent="0.25">
      <c r="A19" s="39" t="s">
        <v>341</v>
      </c>
      <c r="B19" s="39" t="s">
        <v>348</v>
      </c>
      <c r="C19" s="108">
        <v>8000</v>
      </c>
    </row>
  </sheetData>
  <mergeCells count="3">
    <mergeCell ref="A1:H1"/>
    <mergeCell ref="A14:C14"/>
    <mergeCell ref="E14:I14"/>
  </mergeCells>
  <pageMargins left="0.7" right="0.7" top="0.75" bottom="0.75" header="0.3" footer="0.3"/>
  <pageSetup orientation="portrait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"/>
  <sheetViews>
    <sheetView showGridLines="0" workbookViewId="0">
      <selection activeCell="L11" sqref="L11"/>
    </sheetView>
  </sheetViews>
  <sheetFormatPr defaultRowHeight="15" x14ac:dyDescent="0.25"/>
  <cols>
    <col min="2" max="2" width="11.5703125" bestFit="1" customWidth="1"/>
    <col min="4" max="4" width="10.28515625" bestFit="1" customWidth="1"/>
    <col min="8" max="8" width="10.28515625" bestFit="1" customWidth="1"/>
  </cols>
  <sheetData>
    <row r="2" spans="2:8" x14ac:dyDescent="0.25">
      <c r="B2" s="1" t="s">
        <v>41</v>
      </c>
      <c r="C2" s="13" t="s">
        <v>42</v>
      </c>
      <c r="D2" s="1" t="s">
        <v>43</v>
      </c>
      <c r="E2" s="13" t="s">
        <v>44</v>
      </c>
    </row>
    <row r="3" spans="2:8" x14ac:dyDescent="0.25">
      <c r="B3" s="1" t="s">
        <v>14</v>
      </c>
      <c r="C3" s="13">
        <v>5.9</v>
      </c>
      <c r="D3" s="1" t="str">
        <f>IF(AND(C3&gt;=0,C3&lt;5),"Yếu",IF(AND(C3&gt;=5,C3&lt;7),"Trung Bình",IF(AND(C3&gt;=7,C3&lt;9),"Khá","Giỏi")))</f>
        <v>Trung Bình</v>
      </c>
      <c r="E3" s="13">
        <f>RANK(C3,$C$3:$C$9,0)</f>
        <v>6</v>
      </c>
    </row>
    <row r="4" spans="2:8" x14ac:dyDescent="0.25">
      <c r="B4" s="1" t="s">
        <v>45</v>
      </c>
      <c r="C4" s="13">
        <v>8.6</v>
      </c>
      <c r="D4" s="1" t="str">
        <f t="shared" ref="D4:D9" si="0">IF(AND(C4&gt;=0,C4&lt;5),"Yếu",IF(AND(C4&gt;=5,C4&lt;7),"Trung Bình",IF(AND(C4&gt;=7,C4&lt;9),"Khá","Giỏi")))</f>
        <v>Khá</v>
      </c>
      <c r="E4" s="13">
        <f t="shared" ref="E4:E9" si="1">RANK(C4,$C$3:$C$9,0)</f>
        <v>3</v>
      </c>
      <c r="G4" s="14" t="s">
        <v>51</v>
      </c>
      <c r="H4" s="14" t="s">
        <v>52</v>
      </c>
    </row>
    <row r="5" spans="2:8" x14ac:dyDescent="0.25">
      <c r="B5" s="1" t="s">
        <v>46</v>
      </c>
      <c r="C5" s="13">
        <v>9.1999999999999993</v>
      </c>
      <c r="D5" s="1" t="str">
        <f t="shared" si="0"/>
        <v>Giỏi</v>
      </c>
      <c r="E5" s="13">
        <f t="shared" si="1"/>
        <v>2</v>
      </c>
      <c r="G5" s="14">
        <v>0</v>
      </c>
      <c r="H5" s="14" t="s">
        <v>53</v>
      </c>
    </row>
    <row r="6" spans="2:8" x14ac:dyDescent="0.25">
      <c r="B6" s="1" t="s">
        <v>47</v>
      </c>
      <c r="C6" s="13">
        <v>9.5</v>
      </c>
      <c r="D6" s="1" t="str">
        <f t="shared" si="0"/>
        <v>Giỏi</v>
      </c>
      <c r="E6" s="13">
        <f t="shared" si="1"/>
        <v>1</v>
      </c>
      <c r="G6" s="14">
        <v>5</v>
      </c>
      <c r="H6" s="14" t="s">
        <v>54</v>
      </c>
    </row>
    <row r="7" spans="2:8" x14ac:dyDescent="0.25">
      <c r="B7" s="1" t="s">
        <v>48</v>
      </c>
      <c r="C7" s="13">
        <v>3.5</v>
      </c>
      <c r="D7" s="1" t="str">
        <f t="shared" si="0"/>
        <v>Yếu</v>
      </c>
      <c r="E7" s="13">
        <f t="shared" si="1"/>
        <v>7</v>
      </c>
      <c r="G7" s="14">
        <v>7</v>
      </c>
      <c r="H7" s="14" t="s">
        <v>55</v>
      </c>
    </row>
    <row r="8" spans="2:8" x14ac:dyDescent="0.25">
      <c r="B8" s="1" t="s">
        <v>49</v>
      </c>
      <c r="C8" s="13">
        <v>6.4</v>
      </c>
      <c r="D8" s="1" t="str">
        <f t="shared" si="0"/>
        <v>Trung Bình</v>
      </c>
      <c r="E8" s="13">
        <f t="shared" si="1"/>
        <v>5</v>
      </c>
      <c r="G8" s="14">
        <v>9</v>
      </c>
      <c r="H8" s="14" t="s">
        <v>56</v>
      </c>
    </row>
    <row r="9" spans="2:8" x14ac:dyDescent="0.25">
      <c r="B9" s="1" t="s">
        <v>50</v>
      </c>
      <c r="C9" s="13">
        <v>8.6</v>
      </c>
      <c r="D9" s="1" t="str">
        <f t="shared" si="0"/>
        <v>Khá</v>
      </c>
      <c r="E9" s="13">
        <f t="shared" si="1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2" sqref="A2:F7"/>
    </sheetView>
  </sheetViews>
  <sheetFormatPr defaultRowHeight="15" x14ac:dyDescent="0.25"/>
  <cols>
    <col min="5" max="5" width="10" bestFit="1" customWidth="1"/>
  </cols>
  <sheetData>
    <row r="1" spans="1:6" x14ac:dyDescent="0.25">
      <c r="A1" s="109" t="s">
        <v>57</v>
      </c>
      <c r="B1" s="109"/>
      <c r="C1" s="109"/>
      <c r="D1" s="109"/>
      <c r="E1" s="109"/>
      <c r="F1" s="109"/>
    </row>
    <row r="2" spans="1:6" ht="30" x14ac:dyDescent="0.25">
      <c r="A2" s="15" t="s">
        <v>58</v>
      </c>
      <c r="B2" s="16" t="s">
        <v>59</v>
      </c>
      <c r="C2" s="16" t="s">
        <v>60</v>
      </c>
      <c r="D2" s="16" t="s">
        <v>61</v>
      </c>
      <c r="E2" s="16" t="s">
        <v>62</v>
      </c>
      <c r="F2" s="16" t="s">
        <v>63</v>
      </c>
    </row>
    <row r="3" spans="1:6" x14ac:dyDescent="0.25">
      <c r="A3" s="1" t="s">
        <v>64</v>
      </c>
      <c r="B3" s="1">
        <v>1000</v>
      </c>
      <c r="C3" s="17">
        <f>IF(LEFT(A3,1)="A",0.6*B3,0.7*B3)</f>
        <v>600</v>
      </c>
      <c r="D3" s="17">
        <f>IF(RIGHT(A3,1)="Y",110000,135000)</f>
        <v>110000</v>
      </c>
      <c r="E3" s="17">
        <f>C3*D3</f>
        <v>66000000</v>
      </c>
      <c r="F3" s="17">
        <f>IF(AND(LEFT(A3,1)="A",RIGHT(A3,1)="Y"),0.08*E3,IF(AND(LEFT(A3,1)="A",RIGHT(A3,1)="N"),0.11*E3,IF(AND(LEFT(A3,1)="B",RIGHT(A3,1)="Y"),0.17*E3,0.22*E3)))</f>
        <v>5280000</v>
      </c>
    </row>
    <row r="4" spans="1:6" x14ac:dyDescent="0.25">
      <c r="A4" s="1" t="s">
        <v>65</v>
      </c>
      <c r="B4" s="1">
        <v>2500</v>
      </c>
      <c r="C4" s="17">
        <f>IF(LEFT(A4,1)="A",0.6*B4,0.7*B4)</f>
        <v>1750</v>
      </c>
      <c r="D4" s="17">
        <f>IF(RIGHT(A4,1)="Y",110000,135000)</f>
        <v>135000</v>
      </c>
      <c r="E4" s="17">
        <f>C4*D4</f>
        <v>236250000</v>
      </c>
      <c r="F4" s="17">
        <f>IF(AND(LEFT(A4,1)="A",RIGHT(A4,1)="Y"),0.08*E4,IF(AND(LEFT(A4,1)="A",RIGHT(A4,1)="N"),0.11*E4,IF(AND(LEFT(A4,1)="B",RIGHT(A4,1)="Y"),0.17*E4,0.22*E4)))</f>
        <v>51975000</v>
      </c>
    </row>
    <row r="5" spans="1:6" x14ac:dyDescent="0.25">
      <c r="A5" s="1" t="s">
        <v>66</v>
      </c>
      <c r="B5" s="1">
        <v>4582</v>
      </c>
      <c r="C5" s="17">
        <f>IF(LEFT(A5,1)="A",0.6*B5,0.7*B5)</f>
        <v>3207.3999999999996</v>
      </c>
      <c r="D5" s="17">
        <f>IF(RIGHT(A5,1)="Y",110000,135000)</f>
        <v>110000</v>
      </c>
      <c r="E5" s="17">
        <f>C5*D5</f>
        <v>352813999.99999994</v>
      </c>
      <c r="F5" s="17">
        <f>IF(AND(LEFT(A5,1)="A",RIGHT(A5,1)="Y"),0.08*E5,IF(AND(LEFT(A5,1)="A",RIGHT(A5,1)="N"),0.11*E5,IF(AND(LEFT(A5,1)="B",RIGHT(A5,1)="Y"),0.17*E5,0.22*E5)))</f>
        <v>59978379.999999993</v>
      </c>
    </row>
    <row r="6" spans="1:6" x14ac:dyDescent="0.25">
      <c r="A6" s="1" t="s">
        <v>67</v>
      </c>
      <c r="B6" s="1">
        <v>1400</v>
      </c>
      <c r="C6" s="17">
        <f>IF(LEFT(A6,1)="A",0.6*B6,0.7*B6)</f>
        <v>840</v>
      </c>
      <c r="D6" s="17">
        <f>IF(RIGHT(A6,1)="Y",110000,135000)</f>
        <v>135000</v>
      </c>
      <c r="E6" s="17">
        <f>C6*D6</f>
        <v>113400000</v>
      </c>
      <c r="F6" s="17">
        <f>IF(AND(LEFT(A6,1)="A",RIGHT(A6,1)="Y"),0.08*E6,IF(AND(LEFT(A6,1)="A",RIGHT(A6,1)="N"),0.11*E6,IF(AND(LEFT(A6,1)="B",RIGHT(A6,1)="Y"),0.17*E6,0.22*E6)))</f>
        <v>12474000</v>
      </c>
    </row>
    <row r="7" spans="1:6" x14ac:dyDescent="0.25">
      <c r="A7" s="1" t="s">
        <v>68</v>
      </c>
      <c r="B7" s="1">
        <v>1650</v>
      </c>
      <c r="C7" s="17">
        <f>IF(LEFT(A7,1)="A",0.6*B7,0.7*B7)</f>
        <v>1155</v>
      </c>
      <c r="D7" s="17">
        <f>IF(RIGHT(A7,1)="Y",110000,135000)</f>
        <v>110000</v>
      </c>
      <c r="E7" s="17">
        <f>C7*D7</f>
        <v>127050000</v>
      </c>
      <c r="F7" s="17">
        <f>IF(AND(LEFT(A7,1)="A",RIGHT(A7,1)="Y"),0.08*E7,IF(AND(LEFT(A7,1)="A",RIGHT(A7,1)="N"),0.11*E7,IF(AND(LEFT(A7,1)="B",RIGHT(A7,1)="Y"),0.17*E7,0.22*E7)))</f>
        <v>21598500</v>
      </c>
    </row>
  </sheetData>
  <mergeCells count="1">
    <mergeCell ref="A1:F1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8" sqref="F8"/>
    </sheetView>
  </sheetViews>
  <sheetFormatPr defaultRowHeight="15" x14ac:dyDescent="0.25"/>
  <cols>
    <col min="1" max="1" width="12.5703125" bestFit="1" customWidth="1"/>
    <col min="2" max="2" width="13.28515625" bestFit="1" customWidth="1"/>
    <col min="3" max="3" width="7.7109375" bestFit="1" customWidth="1"/>
    <col min="5" max="5" width="11.42578125" bestFit="1" customWidth="1"/>
    <col min="6" max="6" width="10.42578125" bestFit="1" customWidth="1"/>
  </cols>
  <sheetData>
    <row r="1" spans="1:6" x14ac:dyDescent="0.25">
      <c r="A1" t="s">
        <v>69</v>
      </c>
      <c r="B1" t="s">
        <v>70</v>
      </c>
      <c r="C1" t="s">
        <v>85</v>
      </c>
      <c r="D1" s="19" t="s">
        <v>61</v>
      </c>
      <c r="E1" s="19" t="s">
        <v>71</v>
      </c>
      <c r="F1" s="19" t="s">
        <v>72</v>
      </c>
    </row>
    <row r="2" spans="1:6" x14ac:dyDescent="0.25">
      <c r="A2" t="s">
        <v>73</v>
      </c>
      <c r="B2" t="str">
        <f t="shared" ref="B2:B7" si="0">VLOOKUP(A2,$A$13:$B$18,2,)</f>
        <v>Bim bim</v>
      </c>
      <c r="C2">
        <v>350</v>
      </c>
      <c r="D2">
        <f t="shared" ref="D2:D7" si="1">VLOOKUP(A2,$A$13:$C$18,3,FALSE)</f>
        <v>5100</v>
      </c>
      <c r="E2">
        <f t="shared" ref="E2:E7" si="2">IF(C2&lt;=100,0,IF(C2&lt;=230,25,IF(C2&lt;=305,30,35)))</f>
        <v>35</v>
      </c>
      <c r="F2">
        <f t="shared" ref="F2:F7" si="3">(C2-E2)*D2</f>
        <v>1606500</v>
      </c>
    </row>
    <row r="3" spans="1:6" x14ac:dyDescent="0.25">
      <c r="A3" t="s">
        <v>75</v>
      </c>
      <c r="B3" t="str">
        <f t="shared" si="0"/>
        <v>Kẹo hoa quả</v>
      </c>
      <c r="C3">
        <v>74</v>
      </c>
      <c r="D3">
        <f t="shared" si="1"/>
        <v>7700</v>
      </c>
      <c r="E3">
        <f t="shared" si="2"/>
        <v>0</v>
      </c>
      <c r="F3">
        <f t="shared" si="3"/>
        <v>569800</v>
      </c>
    </row>
    <row r="4" spans="1:6" x14ac:dyDescent="0.25">
      <c r="A4" t="s">
        <v>76</v>
      </c>
      <c r="B4" t="str">
        <f t="shared" si="0"/>
        <v>Khẩu trang</v>
      </c>
      <c r="C4">
        <v>163</v>
      </c>
      <c r="D4">
        <f t="shared" si="1"/>
        <v>23200</v>
      </c>
      <c r="E4">
        <f t="shared" si="2"/>
        <v>25</v>
      </c>
      <c r="F4">
        <f t="shared" si="3"/>
        <v>3201600</v>
      </c>
    </row>
    <row r="5" spans="1:6" x14ac:dyDescent="0.25">
      <c r="A5" t="s">
        <v>77</v>
      </c>
      <c r="B5" t="str">
        <f t="shared" si="0"/>
        <v>Pin con thỏ</v>
      </c>
      <c r="C5">
        <v>228</v>
      </c>
      <c r="D5">
        <f t="shared" si="1"/>
        <v>3300</v>
      </c>
      <c r="E5">
        <f t="shared" si="2"/>
        <v>25</v>
      </c>
      <c r="F5">
        <f t="shared" si="3"/>
        <v>669900</v>
      </c>
    </row>
    <row r="6" spans="1:6" x14ac:dyDescent="0.25">
      <c r="A6" t="s">
        <v>78</v>
      </c>
      <c r="B6" t="str">
        <f t="shared" si="0"/>
        <v>Bánh quy</v>
      </c>
      <c r="C6">
        <v>92</v>
      </c>
      <c r="D6">
        <f t="shared" si="1"/>
        <v>16200</v>
      </c>
      <c r="E6">
        <f t="shared" si="2"/>
        <v>0</v>
      </c>
      <c r="F6">
        <f t="shared" si="3"/>
        <v>1490400</v>
      </c>
    </row>
    <row r="7" spans="1:6" x14ac:dyDescent="0.25">
      <c r="A7" t="s">
        <v>79</v>
      </c>
      <c r="B7" t="str">
        <f t="shared" si="0"/>
        <v>Dao cạo</v>
      </c>
      <c r="C7">
        <v>306</v>
      </c>
      <c r="D7">
        <f t="shared" si="1"/>
        <v>11500</v>
      </c>
      <c r="E7">
        <f t="shared" si="2"/>
        <v>35</v>
      </c>
      <c r="F7">
        <f t="shared" si="3"/>
        <v>3116500</v>
      </c>
    </row>
    <row r="8" spans="1:6" x14ac:dyDescent="0.25">
      <c r="D8" s="111" t="s">
        <v>86</v>
      </c>
      <c r="E8" s="111"/>
      <c r="F8">
        <f>SUM(F2:F7)</f>
        <v>10654700</v>
      </c>
    </row>
    <row r="11" spans="1:6" x14ac:dyDescent="0.25">
      <c r="A11" s="110" t="s">
        <v>87</v>
      </c>
      <c r="B11" s="110"/>
      <c r="C11" s="110"/>
      <c r="D11" s="110"/>
    </row>
    <row r="12" spans="1:6" x14ac:dyDescent="0.25">
      <c r="A12" s="18" t="s">
        <v>69</v>
      </c>
      <c r="B12" s="18" t="s">
        <v>70</v>
      </c>
      <c r="C12" s="18" t="s">
        <v>61</v>
      </c>
    </row>
    <row r="13" spans="1:6" x14ac:dyDescent="0.25">
      <c r="A13" t="s">
        <v>77</v>
      </c>
      <c r="B13" t="s">
        <v>82</v>
      </c>
      <c r="C13">
        <v>3300</v>
      </c>
    </row>
    <row r="14" spans="1:6" x14ac:dyDescent="0.25">
      <c r="A14" t="s">
        <v>75</v>
      </c>
      <c r="B14" t="s">
        <v>80</v>
      </c>
      <c r="C14">
        <v>7700</v>
      </c>
    </row>
    <row r="15" spans="1:6" x14ac:dyDescent="0.25">
      <c r="A15" t="s">
        <v>78</v>
      </c>
      <c r="B15" t="s">
        <v>83</v>
      </c>
      <c r="C15">
        <v>16200</v>
      </c>
    </row>
    <row r="16" spans="1:6" x14ac:dyDescent="0.25">
      <c r="A16" t="s">
        <v>76</v>
      </c>
      <c r="B16" t="s">
        <v>81</v>
      </c>
      <c r="C16">
        <v>23200</v>
      </c>
    </row>
    <row r="17" spans="1:3" x14ac:dyDescent="0.25">
      <c r="A17" t="s">
        <v>73</v>
      </c>
      <c r="B17" t="s">
        <v>74</v>
      </c>
      <c r="C17">
        <v>5100</v>
      </c>
    </row>
    <row r="18" spans="1:3" x14ac:dyDescent="0.25">
      <c r="A18" t="s">
        <v>79</v>
      </c>
      <c r="B18" t="s">
        <v>84</v>
      </c>
      <c r="C18">
        <v>11500</v>
      </c>
    </row>
  </sheetData>
  <mergeCells count="2">
    <mergeCell ref="A11:D11"/>
    <mergeCell ref="D8:E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showGridLines="0" topLeftCell="B1" workbookViewId="0">
      <selection activeCell="M2" sqref="M2"/>
    </sheetView>
  </sheetViews>
  <sheetFormatPr defaultRowHeight="15" x14ac:dyDescent="0.25"/>
  <cols>
    <col min="1" max="1" width="3.5703125" style="21" bestFit="1" customWidth="1"/>
    <col min="2" max="2" width="11.7109375" style="21" bestFit="1" customWidth="1"/>
    <col min="3" max="3" width="6.42578125" style="21" bestFit="1" customWidth="1"/>
    <col min="4" max="4" width="6.140625" style="21" bestFit="1" customWidth="1"/>
    <col min="5" max="5" width="7.5703125" style="21" bestFit="1" customWidth="1"/>
    <col min="6" max="7" width="6.28515625" style="21" bestFit="1" customWidth="1"/>
    <col min="8" max="8" width="7.7109375" style="21" bestFit="1" customWidth="1"/>
    <col min="9" max="10" width="7.5703125" style="21" bestFit="1" customWidth="1"/>
    <col min="11" max="16384" width="9.140625" style="21"/>
  </cols>
  <sheetData>
    <row r="1" spans="1:10" x14ac:dyDescent="0.25">
      <c r="A1" s="112" t="s">
        <v>88</v>
      </c>
      <c r="B1" s="112"/>
      <c r="C1" s="112"/>
      <c r="D1" s="112"/>
      <c r="E1" s="112"/>
      <c r="F1" s="112"/>
      <c r="G1" s="112"/>
      <c r="H1" s="112"/>
      <c r="I1" s="20" t="s">
        <v>111</v>
      </c>
      <c r="J1" s="21">
        <f ca="1">MONTH(TODAY())</f>
        <v>7</v>
      </c>
    </row>
    <row r="2" spans="1:10" ht="60" x14ac:dyDescent="0.25">
      <c r="A2" s="22" t="s">
        <v>0</v>
      </c>
      <c r="B2" s="23" t="s">
        <v>1</v>
      </c>
      <c r="C2" s="24" t="s">
        <v>90</v>
      </c>
      <c r="D2" s="25" t="s">
        <v>112</v>
      </c>
      <c r="E2" s="25" t="s">
        <v>113</v>
      </c>
      <c r="F2" s="25" t="s">
        <v>114</v>
      </c>
      <c r="G2" s="25" t="s">
        <v>115</v>
      </c>
      <c r="H2" s="26" t="s">
        <v>89</v>
      </c>
      <c r="I2" s="27" t="s">
        <v>116</v>
      </c>
      <c r="J2" s="27" t="s">
        <v>117</v>
      </c>
    </row>
    <row r="3" spans="1:10" x14ac:dyDescent="0.25">
      <c r="A3" s="23">
        <v>1</v>
      </c>
      <c r="B3" s="17" t="s">
        <v>91</v>
      </c>
      <c r="C3" s="17" t="s">
        <v>92</v>
      </c>
      <c r="D3" s="17" t="s">
        <v>28</v>
      </c>
      <c r="E3" s="17">
        <v>1000</v>
      </c>
      <c r="F3" s="17">
        <v>24</v>
      </c>
      <c r="G3" s="31">
        <f>IF(D3="GĐ",500,IF(D3="PGĐ",400,IF(D3="TP",300,IF(D3="KT",250,100))))</f>
        <v>100</v>
      </c>
      <c r="H3" s="31">
        <f>E3*F3</f>
        <v>24000</v>
      </c>
      <c r="I3" s="31">
        <f>ROUND(IF((G3+H3)*2/3&lt;25000,(G3+H3)*2/3,25000),-3)</f>
        <v>16000</v>
      </c>
      <c r="J3" s="31">
        <f>G3+H3-I3</f>
        <v>8100</v>
      </c>
    </row>
    <row r="4" spans="1:10" x14ac:dyDescent="0.25">
      <c r="A4" s="23">
        <v>2</v>
      </c>
      <c r="B4" s="17" t="s">
        <v>93</v>
      </c>
      <c r="C4" s="17" t="s">
        <v>17</v>
      </c>
      <c r="D4" s="17" t="s">
        <v>94</v>
      </c>
      <c r="E4" s="17">
        <v>1000</v>
      </c>
      <c r="F4" s="17">
        <v>30</v>
      </c>
      <c r="G4" s="31">
        <f t="shared" ref="G4:G11" si="0">IF(D4="GĐ",500,IF(D4="PGĐ",400,IF(D4="TP",300,IF(D4="KT",250,100))))</f>
        <v>100</v>
      </c>
      <c r="H4" s="31">
        <f t="shared" ref="H4:H11" si="1">E4*F4</f>
        <v>30000</v>
      </c>
      <c r="I4" s="31">
        <f t="shared" ref="I4:I11" si="2">ROUND(IF((G4+H4)*2/3&lt;25000,(G4+H4)*2/3,25000),-3)</f>
        <v>20000</v>
      </c>
      <c r="J4" s="31">
        <f t="shared" ref="J4:J11" si="3">G4+H4-I4</f>
        <v>10100</v>
      </c>
    </row>
    <row r="5" spans="1:10" x14ac:dyDescent="0.25">
      <c r="A5" s="23">
        <v>3</v>
      </c>
      <c r="B5" s="17" t="s">
        <v>95</v>
      </c>
      <c r="C5" s="17" t="s">
        <v>96</v>
      </c>
      <c r="D5" s="17" t="s">
        <v>30</v>
      </c>
      <c r="E5" s="17">
        <v>3000</v>
      </c>
      <c r="F5" s="17">
        <v>25</v>
      </c>
      <c r="G5" s="31">
        <f t="shared" si="0"/>
        <v>300</v>
      </c>
      <c r="H5" s="31">
        <f t="shared" si="1"/>
        <v>75000</v>
      </c>
      <c r="I5" s="31">
        <f t="shared" si="2"/>
        <v>25000</v>
      </c>
      <c r="J5" s="31">
        <f t="shared" si="3"/>
        <v>50300</v>
      </c>
    </row>
    <row r="6" spans="1:10" x14ac:dyDescent="0.25">
      <c r="A6" s="23">
        <v>4</v>
      </c>
      <c r="B6" s="17" t="s">
        <v>6</v>
      </c>
      <c r="C6" s="17" t="s">
        <v>97</v>
      </c>
      <c r="D6" s="17" t="s">
        <v>31</v>
      </c>
      <c r="E6" s="17">
        <v>5000</v>
      </c>
      <c r="F6" s="17">
        <v>28</v>
      </c>
      <c r="G6" s="31">
        <f t="shared" si="0"/>
        <v>500</v>
      </c>
      <c r="H6" s="31">
        <f t="shared" si="1"/>
        <v>140000</v>
      </c>
      <c r="I6" s="31">
        <f t="shared" si="2"/>
        <v>25000</v>
      </c>
      <c r="J6" s="31">
        <f t="shared" si="3"/>
        <v>115500</v>
      </c>
    </row>
    <row r="7" spans="1:10" x14ac:dyDescent="0.25">
      <c r="A7" s="23">
        <v>5</v>
      </c>
      <c r="B7" s="17" t="s">
        <v>98</v>
      </c>
      <c r="C7" s="17" t="s">
        <v>99</v>
      </c>
      <c r="D7" s="17" t="s">
        <v>32</v>
      </c>
      <c r="E7" s="17">
        <v>4000</v>
      </c>
      <c r="F7" s="17">
        <v>26</v>
      </c>
      <c r="G7" s="31">
        <f t="shared" si="0"/>
        <v>400</v>
      </c>
      <c r="H7" s="31">
        <f t="shared" si="1"/>
        <v>104000</v>
      </c>
      <c r="I7" s="31">
        <f t="shared" si="2"/>
        <v>25000</v>
      </c>
      <c r="J7" s="31">
        <f t="shared" si="3"/>
        <v>79400</v>
      </c>
    </row>
    <row r="8" spans="1:10" x14ac:dyDescent="0.25">
      <c r="A8" s="23">
        <v>6</v>
      </c>
      <c r="B8" s="17" t="s">
        <v>100</v>
      </c>
      <c r="C8" s="17" t="s">
        <v>101</v>
      </c>
      <c r="D8" s="17" t="s">
        <v>30</v>
      </c>
      <c r="E8" s="17">
        <v>2000</v>
      </c>
      <c r="F8" s="17">
        <v>29</v>
      </c>
      <c r="G8" s="31">
        <f t="shared" si="0"/>
        <v>300</v>
      </c>
      <c r="H8" s="31">
        <f t="shared" si="1"/>
        <v>58000</v>
      </c>
      <c r="I8" s="31">
        <f t="shared" si="2"/>
        <v>25000</v>
      </c>
      <c r="J8" s="31">
        <f t="shared" si="3"/>
        <v>33300</v>
      </c>
    </row>
    <row r="9" spans="1:10" x14ac:dyDescent="0.25">
      <c r="A9" s="23">
        <v>7</v>
      </c>
      <c r="B9" s="17" t="s">
        <v>102</v>
      </c>
      <c r="C9" s="17" t="s">
        <v>103</v>
      </c>
      <c r="D9" s="17" t="s">
        <v>29</v>
      </c>
      <c r="E9" s="17">
        <v>1000</v>
      </c>
      <c r="F9" s="17">
        <v>30</v>
      </c>
      <c r="G9" s="31">
        <f t="shared" si="0"/>
        <v>250</v>
      </c>
      <c r="H9" s="31">
        <f t="shared" si="1"/>
        <v>30000</v>
      </c>
      <c r="I9" s="31">
        <f t="shared" si="2"/>
        <v>20000</v>
      </c>
      <c r="J9" s="31">
        <f t="shared" si="3"/>
        <v>10250</v>
      </c>
    </row>
    <row r="10" spans="1:10" x14ac:dyDescent="0.25">
      <c r="A10" s="23">
        <v>8</v>
      </c>
      <c r="B10" s="17" t="s">
        <v>104</v>
      </c>
      <c r="C10" s="17" t="s">
        <v>21</v>
      </c>
      <c r="D10" s="17" t="s">
        <v>30</v>
      </c>
      <c r="E10" s="17">
        <v>3000</v>
      </c>
      <c r="F10" s="17">
        <v>30</v>
      </c>
      <c r="G10" s="32">
        <f t="shared" si="0"/>
        <v>300</v>
      </c>
      <c r="H10" s="31">
        <f t="shared" si="1"/>
        <v>90000</v>
      </c>
      <c r="I10" s="31">
        <f t="shared" si="2"/>
        <v>25000</v>
      </c>
      <c r="J10" s="31">
        <f t="shared" si="3"/>
        <v>65300</v>
      </c>
    </row>
    <row r="11" spans="1:10" x14ac:dyDescent="0.25">
      <c r="A11" s="23">
        <v>9</v>
      </c>
      <c r="B11" s="17" t="s">
        <v>105</v>
      </c>
      <c r="C11" s="17" t="s">
        <v>106</v>
      </c>
      <c r="D11" s="17" t="s">
        <v>28</v>
      </c>
      <c r="E11" s="17">
        <v>1000</v>
      </c>
      <c r="F11" s="17">
        <v>26</v>
      </c>
      <c r="G11" s="32">
        <f t="shared" si="0"/>
        <v>100</v>
      </c>
      <c r="H11" s="31">
        <f t="shared" si="1"/>
        <v>26000</v>
      </c>
      <c r="I11" s="31">
        <f t="shared" si="2"/>
        <v>17000</v>
      </c>
      <c r="J11" s="31">
        <f t="shared" si="3"/>
        <v>9100</v>
      </c>
    </row>
    <row r="12" spans="1:10" x14ac:dyDescent="0.25">
      <c r="A12" s="28"/>
      <c r="B12" s="28"/>
      <c r="C12" s="29"/>
      <c r="D12" s="113" t="s">
        <v>107</v>
      </c>
      <c r="E12" s="113"/>
      <c r="F12" s="113"/>
      <c r="G12" s="32">
        <f>SUM(G3:G11)</f>
        <v>2350</v>
      </c>
      <c r="H12" s="31">
        <f>SUM(H3:H11)</f>
        <v>577000</v>
      </c>
      <c r="I12" s="31">
        <f>SUM(I3:I11)</f>
        <v>198000</v>
      </c>
      <c r="J12" s="31">
        <f>SUM(J3:J11)</f>
        <v>381350</v>
      </c>
    </row>
    <row r="13" spans="1:10" x14ac:dyDescent="0.25">
      <c r="A13" s="28"/>
      <c r="B13" s="28"/>
      <c r="C13" s="30"/>
      <c r="D13" s="113" t="s">
        <v>108</v>
      </c>
      <c r="E13" s="113"/>
      <c r="F13" s="113"/>
      <c r="G13" s="32">
        <f>ROUND(AVERAGE(G3:G11),0)</f>
        <v>261</v>
      </c>
      <c r="H13" s="31">
        <f>ROUND(AVERAGE(H3:H11),0)</f>
        <v>64111</v>
      </c>
      <c r="I13" s="31">
        <f>ROUND(AVERAGE(I3:I11),0)</f>
        <v>22000</v>
      </c>
      <c r="J13" s="31">
        <f>ROUND(AVERAGE(J3:J11),0)</f>
        <v>42372</v>
      </c>
    </row>
    <row r="14" spans="1:10" x14ac:dyDescent="0.25">
      <c r="A14" s="28"/>
      <c r="B14" s="28"/>
      <c r="C14" s="30"/>
      <c r="D14" s="113" t="s">
        <v>110</v>
      </c>
      <c r="E14" s="113"/>
      <c r="F14" s="113"/>
      <c r="G14" s="32">
        <f>MAX(G3:G11)</f>
        <v>500</v>
      </c>
      <c r="H14" s="31">
        <f>MAX(H3:H11)</f>
        <v>140000</v>
      </c>
      <c r="I14" s="31">
        <f>MAX(I3:I11)</f>
        <v>25000</v>
      </c>
      <c r="J14" s="31">
        <f>MAX(J3:J11)</f>
        <v>115500</v>
      </c>
    </row>
    <row r="15" spans="1:10" x14ac:dyDescent="0.25">
      <c r="A15" s="28"/>
      <c r="B15" s="28"/>
      <c r="C15" s="30"/>
      <c r="D15" s="113" t="s">
        <v>109</v>
      </c>
      <c r="E15" s="113"/>
      <c r="F15" s="113"/>
      <c r="G15" s="32">
        <f>MIN(G3:G11)</f>
        <v>100</v>
      </c>
      <c r="H15" s="31">
        <f>MIN(H3:H11)</f>
        <v>24000</v>
      </c>
      <c r="I15" s="31">
        <f>MIN(I3:I11)</f>
        <v>16000</v>
      </c>
      <c r="J15" s="31">
        <f>MIN(J3:J11)</f>
        <v>8100</v>
      </c>
    </row>
  </sheetData>
  <mergeCells count="5">
    <mergeCell ref="A1:H1"/>
    <mergeCell ref="D12:F12"/>
    <mergeCell ref="D13:F13"/>
    <mergeCell ref="D14:F14"/>
    <mergeCell ref="D15:F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showGridLines="0" workbookViewId="0">
      <selection activeCell="I1" sqref="I1"/>
    </sheetView>
  </sheetViews>
  <sheetFormatPr defaultRowHeight="15" x14ac:dyDescent="0.25"/>
  <cols>
    <col min="2" max="2" width="19" bestFit="1" customWidth="1"/>
    <col min="3" max="3" width="10.42578125" bestFit="1" customWidth="1"/>
    <col min="4" max="4" width="8.7109375" bestFit="1" customWidth="1"/>
    <col min="5" max="5" width="16" bestFit="1" customWidth="1"/>
    <col min="6" max="6" width="11.7109375" bestFit="1" customWidth="1"/>
  </cols>
  <sheetData>
    <row r="2" spans="1:6" x14ac:dyDescent="0.25">
      <c r="A2" s="112" t="s">
        <v>118</v>
      </c>
      <c r="B2" s="112"/>
      <c r="C2" s="112"/>
      <c r="D2" s="112"/>
      <c r="E2" s="112"/>
      <c r="F2" s="112"/>
    </row>
    <row r="3" spans="1:6" ht="15.75" thickBot="1" x14ac:dyDescent="0.3"/>
    <row r="4" spans="1:6" ht="30.75" thickTop="1" x14ac:dyDescent="0.25">
      <c r="A4" s="33" t="s">
        <v>139</v>
      </c>
      <c r="B4" s="34" t="s">
        <v>119</v>
      </c>
      <c r="C4" s="34" t="s">
        <v>120</v>
      </c>
      <c r="D4" s="34" t="s">
        <v>121</v>
      </c>
      <c r="E4" s="34" t="s">
        <v>122</v>
      </c>
      <c r="F4" s="35" t="s">
        <v>123</v>
      </c>
    </row>
    <row r="5" spans="1:6" x14ac:dyDescent="0.25">
      <c r="A5" s="36" t="s">
        <v>129</v>
      </c>
      <c r="B5" s="1" t="s">
        <v>136</v>
      </c>
      <c r="C5" s="37">
        <v>1</v>
      </c>
      <c r="D5" s="38">
        <v>4500000</v>
      </c>
      <c r="E5" s="39">
        <f t="shared" ref="E5:E12" si="0">D5*C5*IF(C5&lt;5,0,IF(C5&lt;8,0.01,IF(C5&lt;=10,0.02,0.05)))</f>
        <v>0</v>
      </c>
      <c r="F5" s="40">
        <f t="shared" ref="F5:F12" si="1">D5*C5-E5</f>
        <v>4500000</v>
      </c>
    </row>
    <row r="6" spans="1:6" x14ac:dyDescent="0.25">
      <c r="A6" s="36" t="s">
        <v>125</v>
      </c>
      <c r="B6" s="1" t="s">
        <v>132</v>
      </c>
      <c r="C6" s="37">
        <v>4</v>
      </c>
      <c r="D6" s="38">
        <v>2500000</v>
      </c>
      <c r="E6" s="39">
        <f t="shared" si="0"/>
        <v>0</v>
      </c>
      <c r="F6" s="40">
        <f t="shared" si="1"/>
        <v>10000000</v>
      </c>
    </row>
    <row r="7" spans="1:6" x14ac:dyDescent="0.25">
      <c r="A7" s="36" t="s">
        <v>127</v>
      </c>
      <c r="B7" s="1" t="s">
        <v>134</v>
      </c>
      <c r="C7" s="37">
        <v>8</v>
      </c>
      <c r="D7" s="38">
        <v>1500000</v>
      </c>
      <c r="E7" s="39">
        <f t="shared" si="0"/>
        <v>240000</v>
      </c>
      <c r="F7" s="40">
        <f t="shared" si="1"/>
        <v>11760000</v>
      </c>
    </row>
    <row r="8" spans="1:6" x14ac:dyDescent="0.25">
      <c r="A8" s="36" t="s">
        <v>126</v>
      </c>
      <c r="B8" s="1" t="s">
        <v>133</v>
      </c>
      <c r="C8" s="37">
        <v>5</v>
      </c>
      <c r="D8" s="38">
        <v>3000000</v>
      </c>
      <c r="E8" s="39">
        <f t="shared" si="0"/>
        <v>150000</v>
      </c>
      <c r="F8" s="40">
        <f t="shared" si="1"/>
        <v>14850000</v>
      </c>
    </row>
    <row r="9" spans="1:6" x14ac:dyDescent="0.25">
      <c r="A9" s="36" t="s">
        <v>130</v>
      </c>
      <c r="B9" s="1" t="s">
        <v>137</v>
      </c>
      <c r="C9" s="37">
        <v>8</v>
      </c>
      <c r="D9" s="38">
        <v>5550000</v>
      </c>
      <c r="E9" s="39">
        <f t="shared" si="0"/>
        <v>888000</v>
      </c>
      <c r="F9" s="40">
        <f t="shared" si="1"/>
        <v>43512000</v>
      </c>
    </row>
    <row r="10" spans="1:6" x14ac:dyDescent="0.25">
      <c r="A10" s="36" t="s">
        <v>128</v>
      </c>
      <c r="B10" s="1" t="s">
        <v>135</v>
      </c>
      <c r="C10" s="37">
        <v>9</v>
      </c>
      <c r="D10" s="38">
        <v>5000000</v>
      </c>
      <c r="E10" s="39">
        <f t="shared" si="0"/>
        <v>900000</v>
      </c>
      <c r="F10" s="40">
        <f t="shared" si="1"/>
        <v>44100000</v>
      </c>
    </row>
    <row r="11" spans="1:6" x14ac:dyDescent="0.25">
      <c r="A11" s="36" t="s">
        <v>124</v>
      </c>
      <c r="B11" s="1" t="s">
        <v>131</v>
      </c>
      <c r="C11" s="37">
        <v>12</v>
      </c>
      <c r="D11" s="1">
        <v>4000000</v>
      </c>
      <c r="E11" s="39">
        <f t="shared" si="0"/>
        <v>2400000</v>
      </c>
      <c r="F11" s="40">
        <f t="shared" si="1"/>
        <v>45600000</v>
      </c>
    </row>
    <row r="12" spans="1:6" x14ac:dyDescent="0.25">
      <c r="A12" s="36" t="s">
        <v>129</v>
      </c>
      <c r="B12" s="1" t="s">
        <v>138</v>
      </c>
      <c r="C12" s="37">
        <v>12</v>
      </c>
      <c r="D12" s="38">
        <v>6000000</v>
      </c>
      <c r="E12" s="39">
        <f t="shared" si="0"/>
        <v>3600000</v>
      </c>
      <c r="F12" s="40">
        <f t="shared" si="1"/>
        <v>68400000</v>
      </c>
    </row>
    <row r="13" spans="1:6" ht="15.75" thickBot="1" x14ac:dyDescent="0.3">
      <c r="A13" s="114" t="s">
        <v>140</v>
      </c>
      <c r="B13" s="115"/>
      <c r="C13" s="115"/>
      <c r="D13" s="115"/>
      <c r="E13" s="41">
        <f>SUM(E5:E12)</f>
        <v>8178000</v>
      </c>
      <c r="F13" s="42">
        <f>SUM(F5:F12)</f>
        <v>242722000</v>
      </c>
    </row>
    <row r="14" spans="1:6" ht="15.75" thickTop="1" x14ac:dyDescent="0.25"/>
  </sheetData>
  <sortState ref="A5:F12">
    <sortCondition ref="A4"/>
  </sortState>
  <mergeCells count="2">
    <mergeCell ref="A2:F2"/>
    <mergeCell ref="A13:D13"/>
  </mergeCells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"/>
  <sheetViews>
    <sheetView showGridLines="0" workbookViewId="0">
      <selection activeCell="N4" sqref="N4"/>
    </sheetView>
  </sheetViews>
  <sheetFormatPr defaultRowHeight="15" x14ac:dyDescent="0.25"/>
  <cols>
    <col min="5" max="5" width="10" bestFit="1" customWidth="1"/>
  </cols>
  <sheetData>
    <row r="2" spans="1:6" x14ac:dyDescent="0.25">
      <c r="A2" s="112" t="s">
        <v>57</v>
      </c>
      <c r="B2" s="112"/>
      <c r="C2" s="112"/>
      <c r="D2" s="112"/>
      <c r="E2" s="112"/>
      <c r="F2" s="112"/>
    </row>
    <row r="3" spans="1:6" ht="30" x14ac:dyDescent="0.25">
      <c r="A3" s="15" t="s">
        <v>141</v>
      </c>
      <c r="B3" s="16" t="s">
        <v>59</v>
      </c>
      <c r="C3" s="16" t="s">
        <v>60</v>
      </c>
      <c r="D3" s="16" t="s">
        <v>61</v>
      </c>
      <c r="E3" s="16" t="s">
        <v>142</v>
      </c>
      <c r="F3" s="16" t="s">
        <v>63</v>
      </c>
    </row>
    <row r="4" spans="1:6" x14ac:dyDescent="0.25">
      <c r="A4" s="1" t="s">
        <v>64</v>
      </c>
      <c r="B4" s="38">
        <v>1000</v>
      </c>
      <c r="C4" s="17">
        <f>IF(LEFT(A4,1)="A",0.6,0.7)*B4</f>
        <v>600</v>
      </c>
      <c r="D4" s="17">
        <f>IF(RIGHT(A4,1)="Y",110000,135000)</f>
        <v>110000</v>
      </c>
      <c r="E4" s="17">
        <f>C4*D4</f>
        <v>66000000</v>
      </c>
      <c r="F4" s="17">
        <f>IF(LEFT(A4,1)="A",IF(RIGHT(A4,1)="Y",0.08,0.11),IF(RIGHT(A4,1)="Y",0.17,0.22))*E4</f>
        <v>5280000</v>
      </c>
    </row>
    <row r="5" spans="1:6" x14ac:dyDescent="0.25">
      <c r="A5" s="1" t="s">
        <v>65</v>
      </c>
      <c r="B5" s="38">
        <v>2500</v>
      </c>
      <c r="C5" s="17">
        <f>IF(LEFT(A5,1)="A",0.6,0.7)*B5</f>
        <v>1750</v>
      </c>
      <c r="D5" s="17">
        <f>IF(RIGHT(A5,1)="Y",110000,135000)</f>
        <v>135000</v>
      </c>
      <c r="E5" s="17">
        <f>C5*D5</f>
        <v>236250000</v>
      </c>
      <c r="F5" s="17">
        <f>IF(LEFT(A5,1)="A",IF(RIGHT(A5,1)="Y",0.08,0.11),IF(RIGHT(A5,1)="Y",0.17,0.22))*E5</f>
        <v>51975000</v>
      </c>
    </row>
    <row r="6" spans="1:6" x14ac:dyDescent="0.25">
      <c r="A6" s="1" t="s">
        <v>66</v>
      </c>
      <c r="B6" s="38">
        <v>4582</v>
      </c>
      <c r="C6" s="17">
        <f>IF(LEFT(A6,1)="A",0.6,0.7)*B6</f>
        <v>3207.3999999999996</v>
      </c>
      <c r="D6" s="17">
        <f>IF(RIGHT(A6,1)="Y",110000,135000)</f>
        <v>110000</v>
      </c>
      <c r="E6" s="17">
        <f>C6*D6</f>
        <v>352813999.99999994</v>
      </c>
      <c r="F6" s="17">
        <f>IF(LEFT(A6,1)="A",IF(RIGHT(A6,1)="Y",0.08,0.11),IF(RIGHT(A6,1)="Y",0.17,0.22))*E6</f>
        <v>59978379.999999993</v>
      </c>
    </row>
    <row r="7" spans="1:6" x14ac:dyDescent="0.25">
      <c r="A7" s="1" t="s">
        <v>64</v>
      </c>
      <c r="B7" s="38">
        <v>1400</v>
      </c>
      <c r="C7" s="17">
        <f>IF(LEFT(A7,1)="A",0.6,0.7)*B7</f>
        <v>840</v>
      </c>
      <c r="D7" s="17">
        <f>IF(RIGHT(A7,1)="Y",110000,135000)</f>
        <v>110000</v>
      </c>
      <c r="E7" s="17">
        <f>C7*D7</f>
        <v>92400000</v>
      </c>
      <c r="F7" s="17">
        <f>IF(LEFT(A7,1)="A",IF(RIGHT(A7,1)="Y",0.08,0.11),IF(RIGHT(A7,1)="Y",0.17,0.22))*E7</f>
        <v>7392000</v>
      </c>
    </row>
    <row r="8" spans="1:6" x14ac:dyDescent="0.25">
      <c r="A8" s="1" t="s">
        <v>68</v>
      </c>
      <c r="B8" s="38">
        <v>1650</v>
      </c>
      <c r="C8" s="17">
        <f>IF(LEFT(A8,1)="A",0.6,0.7)*B8</f>
        <v>1155</v>
      </c>
      <c r="D8" s="17">
        <f>IF(RIGHT(A8,1)="Y",110000,135000)</f>
        <v>110000</v>
      </c>
      <c r="E8" s="17">
        <f>C8*D8</f>
        <v>127050000</v>
      </c>
      <c r="F8" s="17">
        <f>IF(LEFT(A8,1)="A",IF(RIGHT(A8,1)="Y",0.08,0.11),IF(RIGHT(A8,1)="Y",0.17,0.22))*E8</f>
        <v>21598500</v>
      </c>
    </row>
  </sheetData>
  <mergeCells count="1">
    <mergeCell ref="A2: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7"/>
  <sheetViews>
    <sheetView showGridLines="0" topLeftCell="A2" workbookViewId="0">
      <selection activeCell="J11" sqref="J11"/>
    </sheetView>
  </sheetViews>
  <sheetFormatPr defaultRowHeight="15" x14ac:dyDescent="0.25"/>
  <cols>
    <col min="1" max="1" width="5.85546875" bestFit="1" customWidth="1"/>
    <col min="2" max="2" width="18.140625" bestFit="1" customWidth="1"/>
    <col min="3" max="4" width="4" bestFit="1" customWidth="1"/>
    <col min="5" max="5" width="7.85546875" bestFit="1" customWidth="1"/>
    <col min="6" max="6" width="6.28515625" bestFit="1" customWidth="1"/>
    <col min="7" max="7" width="5" bestFit="1" customWidth="1"/>
    <col min="8" max="8" width="10.42578125" bestFit="1" customWidth="1"/>
  </cols>
  <sheetData>
    <row r="4" spans="1:8" x14ac:dyDescent="0.25">
      <c r="A4" s="113" t="s">
        <v>143</v>
      </c>
      <c r="B4" s="113"/>
      <c r="C4" s="113"/>
      <c r="D4" s="113"/>
      <c r="E4" s="113"/>
      <c r="F4" s="113"/>
      <c r="G4" s="113"/>
      <c r="H4" s="113"/>
    </row>
    <row r="5" spans="1:8" ht="30" customHeight="1" x14ac:dyDescent="0.25">
      <c r="A5" s="117" t="s">
        <v>0</v>
      </c>
      <c r="B5" s="117" t="s">
        <v>144</v>
      </c>
      <c r="C5" s="117" t="s">
        <v>145</v>
      </c>
      <c r="D5" s="117"/>
      <c r="E5" s="116" t="s">
        <v>147</v>
      </c>
      <c r="F5" s="116" t="s">
        <v>148</v>
      </c>
      <c r="G5" s="117" t="s">
        <v>42</v>
      </c>
      <c r="H5" s="116" t="s">
        <v>146</v>
      </c>
    </row>
    <row r="6" spans="1:8" x14ac:dyDescent="0.25">
      <c r="A6" s="117"/>
      <c r="B6" s="117"/>
      <c r="C6" s="16" t="s">
        <v>149</v>
      </c>
      <c r="D6" s="16" t="s">
        <v>150</v>
      </c>
      <c r="E6" s="116"/>
      <c r="F6" s="116"/>
      <c r="G6" s="117"/>
      <c r="H6" s="116"/>
    </row>
    <row r="7" spans="1:8" x14ac:dyDescent="0.25">
      <c r="A7" s="43">
        <v>1</v>
      </c>
      <c r="B7" s="1" t="s">
        <v>151</v>
      </c>
      <c r="C7" s="43">
        <v>45</v>
      </c>
      <c r="D7" s="43">
        <v>75</v>
      </c>
      <c r="E7" s="44">
        <f t="shared" ref="E7:F11" si="0">IF(C7&gt;10,C7/10,C7)</f>
        <v>4.5</v>
      </c>
      <c r="F7" s="44">
        <f t="shared" si="0"/>
        <v>7.5</v>
      </c>
      <c r="G7" s="44">
        <f>AVERAGE(E7:F7)</f>
        <v>6</v>
      </c>
      <c r="H7" s="17" t="str">
        <f>IF(G7&lt;5,"Rớt",IF(G7&lt;8,"Trung Bình",IF(G7&lt;10,"Khá","Giỏi")))</f>
        <v>Trung Bình</v>
      </c>
    </row>
    <row r="8" spans="1:8" x14ac:dyDescent="0.25">
      <c r="A8" s="43">
        <v>2</v>
      </c>
      <c r="B8" s="1" t="s">
        <v>152</v>
      </c>
      <c r="C8" s="43">
        <v>4</v>
      </c>
      <c r="D8" s="43">
        <v>4.5</v>
      </c>
      <c r="E8" s="44">
        <f t="shared" si="0"/>
        <v>4</v>
      </c>
      <c r="F8" s="44">
        <f t="shared" si="0"/>
        <v>4.5</v>
      </c>
      <c r="G8" s="44">
        <f>AVERAGE(E8:F8)</f>
        <v>4.25</v>
      </c>
      <c r="H8" s="17" t="str">
        <f>IF(G8&lt;5,"Rớt",IF(G8&lt;8,"Trung Bình",IF(G8&lt;10,"Khá","Giỏi")))</f>
        <v>Rớt</v>
      </c>
    </row>
    <row r="9" spans="1:8" x14ac:dyDescent="0.25">
      <c r="A9" s="43">
        <v>3</v>
      </c>
      <c r="B9" s="1" t="s">
        <v>153</v>
      </c>
      <c r="C9" s="43">
        <v>56</v>
      </c>
      <c r="D9" s="43">
        <v>56</v>
      </c>
      <c r="E9" s="44">
        <f t="shared" si="0"/>
        <v>5.6</v>
      </c>
      <c r="F9" s="44">
        <f t="shared" si="0"/>
        <v>5.6</v>
      </c>
      <c r="G9" s="44">
        <f>AVERAGE(E9:F9)</f>
        <v>5.6</v>
      </c>
      <c r="H9" s="17" t="str">
        <f>IF(G9&lt;5,"Rớt",IF(G9&lt;8,"Trung Bình",IF(G9&lt;10,"Khá","Giỏi")))</f>
        <v>Trung Bình</v>
      </c>
    </row>
    <row r="10" spans="1:8" x14ac:dyDescent="0.25">
      <c r="A10" s="43">
        <v>4</v>
      </c>
      <c r="B10" s="1" t="s">
        <v>154</v>
      </c>
      <c r="C10" s="43">
        <v>7.5</v>
      </c>
      <c r="D10" s="43">
        <v>6.5</v>
      </c>
      <c r="E10" s="44">
        <f t="shared" si="0"/>
        <v>7.5</v>
      </c>
      <c r="F10" s="44">
        <f t="shared" si="0"/>
        <v>6.5</v>
      </c>
      <c r="G10" s="44">
        <f>AVERAGE(E10:F10)</f>
        <v>7</v>
      </c>
      <c r="H10" s="17" t="str">
        <f>IF(G10&lt;5,"Rớt",IF(G10&lt;8,"Trung Bình",IF(G10&lt;10,"Khá","Giỏi")))</f>
        <v>Trung Bình</v>
      </c>
    </row>
    <row r="11" spans="1:8" x14ac:dyDescent="0.25">
      <c r="A11" s="43">
        <v>5</v>
      </c>
      <c r="B11" s="1" t="s">
        <v>155</v>
      </c>
      <c r="C11" s="43">
        <v>89</v>
      </c>
      <c r="D11" s="43">
        <v>80</v>
      </c>
      <c r="E11" s="44">
        <f t="shared" si="0"/>
        <v>8.9</v>
      </c>
      <c r="F11" s="44">
        <f t="shared" si="0"/>
        <v>8</v>
      </c>
      <c r="G11" s="44">
        <f>AVERAGE(E11:F11)</f>
        <v>8.4499999999999993</v>
      </c>
      <c r="H11" s="17" t="str">
        <f>IF(G11&lt;5,"Rớt",IF(G11&lt;8,"Trung Bình",IF(G11&lt;10,"Khá","Giỏi")))</f>
        <v>Khá</v>
      </c>
    </row>
    <row r="12" spans="1:8" x14ac:dyDescent="0.25">
      <c r="A12" s="112" t="s">
        <v>156</v>
      </c>
      <c r="B12" s="112"/>
    </row>
    <row r="13" spans="1:8" x14ac:dyDescent="0.25">
      <c r="A13" s="17" t="s">
        <v>158</v>
      </c>
      <c r="B13" s="17" t="s">
        <v>159</v>
      </c>
    </row>
    <row r="14" spans="1:8" x14ac:dyDescent="0.25">
      <c r="A14" s="1">
        <v>0</v>
      </c>
      <c r="B14" s="1" t="s">
        <v>157</v>
      </c>
    </row>
    <row r="15" spans="1:8" x14ac:dyDescent="0.25">
      <c r="A15" s="1">
        <v>5</v>
      </c>
      <c r="B15" s="1" t="s">
        <v>34</v>
      </c>
    </row>
    <row r="16" spans="1:8" x14ac:dyDescent="0.25">
      <c r="A16" s="1">
        <v>8</v>
      </c>
      <c r="B16" s="1" t="s">
        <v>55</v>
      </c>
    </row>
    <row r="17" spans="1:2" x14ac:dyDescent="0.25">
      <c r="A17" s="1">
        <v>10</v>
      </c>
      <c r="B17" s="1" t="s">
        <v>56</v>
      </c>
    </row>
  </sheetData>
  <mergeCells count="9">
    <mergeCell ref="A12:B12"/>
    <mergeCell ref="A4:H4"/>
    <mergeCell ref="H5:H6"/>
    <mergeCell ref="G5:G6"/>
    <mergeCell ref="F5:F6"/>
    <mergeCell ref="E5:E6"/>
    <mergeCell ref="B5:B6"/>
    <mergeCell ref="A5:A6"/>
    <mergeCell ref="C5:D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"/>
  <sheetViews>
    <sheetView workbookViewId="0">
      <selection activeCell="J9" sqref="J9"/>
    </sheetView>
  </sheetViews>
  <sheetFormatPr defaultRowHeight="15" x14ac:dyDescent="0.25"/>
  <cols>
    <col min="1" max="1" width="9" bestFit="1" customWidth="1"/>
    <col min="2" max="2" width="5.28515625" bestFit="1" customWidth="1"/>
    <col min="3" max="3" width="6.28515625" bestFit="1" customWidth="1"/>
    <col min="4" max="4" width="14.7109375" bestFit="1" customWidth="1"/>
    <col min="5" max="5" width="17.42578125" bestFit="1" customWidth="1"/>
    <col min="6" max="7" width="15.7109375" bestFit="1" customWidth="1"/>
    <col min="8" max="8" width="17.42578125" bestFit="1" customWidth="1"/>
  </cols>
  <sheetData>
    <row r="2" spans="1:8" ht="15.75" thickBot="1" x14ac:dyDescent="0.3">
      <c r="A2" s="118" t="s">
        <v>160</v>
      </c>
      <c r="B2" s="118"/>
      <c r="C2" s="118"/>
      <c r="D2" s="118"/>
      <c r="E2" s="118"/>
      <c r="F2" s="118"/>
      <c r="G2" s="118"/>
      <c r="H2" s="118"/>
    </row>
    <row r="3" spans="1:8" ht="30.75" thickTop="1" x14ac:dyDescent="0.25">
      <c r="A3" s="53" t="s">
        <v>161</v>
      </c>
      <c r="B3" s="53" t="s">
        <v>162</v>
      </c>
      <c r="C3" s="53" t="s">
        <v>163</v>
      </c>
      <c r="D3" s="53" t="s">
        <v>164</v>
      </c>
      <c r="E3" s="53" t="s">
        <v>165</v>
      </c>
      <c r="F3" s="53" t="s">
        <v>63</v>
      </c>
      <c r="G3" s="53" t="s">
        <v>166</v>
      </c>
      <c r="H3" s="54" t="s">
        <v>62</v>
      </c>
    </row>
    <row r="4" spans="1:8" x14ac:dyDescent="0.25">
      <c r="A4" s="1" t="s">
        <v>167</v>
      </c>
      <c r="B4" s="1" t="s">
        <v>173</v>
      </c>
      <c r="C4" s="1">
        <v>25</v>
      </c>
      <c r="D4" s="49">
        <v>400000</v>
      </c>
      <c r="E4" s="50">
        <f t="shared" ref="E4:E9" si="0">C4*D4</f>
        <v>10000000</v>
      </c>
      <c r="F4" s="50">
        <f t="shared" ref="F4:F9" si="1">IF(B4="A",0.1,IF(B4="B",0.2,IF(B4="C",0.3,0)))*E4</f>
        <v>1000000</v>
      </c>
      <c r="G4" s="50">
        <f t="shared" ref="G4:G9" si="2">($E$10/$C$10)*C4*0.1</f>
        <v>12659883.720930234</v>
      </c>
      <c r="H4" s="55">
        <f t="shared" ref="H4:H9" si="3">E4+F4+G4</f>
        <v>23659883.720930234</v>
      </c>
    </row>
    <row r="5" spans="1:8" x14ac:dyDescent="0.25">
      <c r="A5" s="1" t="s">
        <v>168</v>
      </c>
      <c r="B5" s="1" t="s">
        <v>174</v>
      </c>
      <c r="C5" s="1">
        <v>45</v>
      </c>
      <c r="D5" s="49">
        <v>700000</v>
      </c>
      <c r="E5" s="50">
        <f t="shared" si="0"/>
        <v>31500000</v>
      </c>
      <c r="F5" s="50">
        <f t="shared" si="1"/>
        <v>6300000</v>
      </c>
      <c r="G5" s="50">
        <f t="shared" si="2"/>
        <v>22787790.69767442</v>
      </c>
      <c r="H5" s="55">
        <f t="shared" si="3"/>
        <v>60587790.697674423</v>
      </c>
    </row>
    <row r="6" spans="1:8" x14ac:dyDescent="0.25">
      <c r="A6" s="1" t="s">
        <v>169</v>
      </c>
      <c r="B6" s="1" t="s">
        <v>175</v>
      </c>
      <c r="C6" s="1">
        <v>55</v>
      </c>
      <c r="D6" s="49">
        <v>8000000</v>
      </c>
      <c r="E6" s="50">
        <f t="shared" si="0"/>
        <v>440000000</v>
      </c>
      <c r="F6" s="50">
        <f t="shared" si="1"/>
        <v>132000000</v>
      </c>
      <c r="G6" s="50">
        <f t="shared" si="2"/>
        <v>27851744.186046511</v>
      </c>
      <c r="H6" s="55">
        <f t="shared" si="3"/>
        <v>599851744.18604648</v>
      </c>
    </row>
    <row r="7" spans="1:8" x14ac:dyDescent="0.25">
      <c r="A7" s="1" t="s">
        <v>170</v>
      </c>
      <c r="B7" s="1" t="s">
        <v>174</v>
      </c>
      <c r="C7" s="1">
        <v>64</v>
      </c>
      <c r="D7" s="49">
        <v>7000000</v>
      </c>
      <c r="E7" s="50">
        <f t="shared" si="0"/>
        <v>448000000</v>
      </c>
      <c r="F7" s="50">
        <f t="shared" si="1"/>
        <v>89600000</v>
      </c>
      <c r="G7" s="50">
        <f t="shared" si="2"/>
        <v>32409302.325581398</v>
      </c>
      <c r="H7" s="55">
        <f t="shared" si="3"/>
        <v>570009302.32558143</v>
      </c>
    </row>
    <row r="8" spans="1:8" x14ac:dyDescent="0.25">
      <c r="A8" s="1" t="s">
        <v>171</v>
      </c>
      <c r="B8" s="1" t="s">
        <v>176</v>
      </c>
      <c r="C8" s="1">
        <v>75</v>
      </c>
      <c r="D8" s="49">
        <v>5500000</v>
      </c>
      <c r="E8" s="50">
        <f t="shared" si="0"/>
        <v>412500000</v>
      </c>
      <c r="F8" s="50">
        <f t="shared" si="1"/>
        <v>0</v>
      </c>
      <c r="G8" s="50">
        <f t="shared" si="2"/>
        <v>37979651.162790701</v>
      </c>
      <c r="H8" s="55">
        <f t="shared" si="3"/>
        <v>450479651.16279072</v>
      </c>
    </row>
    <row r="9" spans="1:8" x14ac:dyDescent="0.25">
      <c r="A9" s="1" t="s">
        <v>172</v>
      </c>
      <c r="B9" s="1" t="s">
        <v>173</v>
      </c>
      <c r="C9" s="1">
        <v>80</v>
      </c>
      <c r="D9" s="49">
        <v>5000000</v>
      </c>
      <c r="E9" s="50">
        <f t="shared" si="0"/>
        <v>400000000</v>
      </c>
      <c r="F9" s="50">
        <f t="shared" si="1"/>
        <v>40000000</v>
      </c>
      <c r="G9" s="50">
        <f t="shared" si="2"/>
        <v>40511627.906976752</v>
      </c>
      <c r="H9" s="55">
        <f t="shared" si="3"/>
        <v>480511627.90697676</v>
      </c>
    </row>
    <row r="10" spans="1:8" ht="15.75" thickBot="1" x14ac:dyDescent="0.3">
      <c r="A10" s="119" t="s">
        <v>140</v>
      </c>
      <c r="B10" s="119"/>
      <c r="C10" s="51">
        <f t="shared" ref="C10:H10" si="4">SUM(C4:C9)</f>
        <v>344</v>
      </c>
      <c r="D10" s="52">
        <f t="shared" si="4"/>
        <v>26600000</v>
      </c>
      <c r="E10" s="52">
        <f t="shared" si="4"/>
        <v>1742000000</v>
      </c>
      <c r="F10" s="52">
        <f t="shared" si="4"/>
        <v>268900000</v>
      </c>
      <c r="G10" s="52">
        <f t="shared" si="4"/>
        <v>174200000.00000003</v>
      </c>
      <c r="H10" s="56">
        <f t="shared" si="4"/>
        <v>2185100000</v>
      </c>
    </row>
    <row r="11" spans="1:8" ht="15.75" thickTop="1" x14ac:dyDescent="0.25"/>
  </sheetData>
  <mergeCells count="2">
    <mergeCell ref="A2:H2"/>
    <mergeCell ref="A10:B10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Bai1</vt:lpstr>
      <vt:lpstr>Bai2</vt:lpstr>
      <vt:lpstr>Bai3</vt:lpstr>
      <vt:lpstr>Bai4</vt:lpstr>
      <vt:lpstr>Bai5</vt:lpstr>
      <vt:lpstr>Bai6</vt:lpstr>
      <vt:lpstr>Bai7</vt:lpstr>
      <vt:lpstr>Bai8</vt:lpstr>
      <vt:lpstr>Bai9</vt:lpstr>
      <vt:lpstr>Bai10</vt:lpstr>
      <vt:lpstr>Bai11</vt:lpstr>
      <vt:lpstr>Bai12</vt:lpstr>
      <vt:lpstr>Bai13</vt:lpstr>
      <vt:lpstr>Bai14</vt:lpstr>
      <vt:lpstr>Bai15</vt:lpstr>
      <vt:lpstr>Bai16</vt:lpstr>
      <vt:lpstr>Bai17</vt:lpstr>
      <vt:lpstr>Bai18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2022-07-15T01:30:58Z</dcterms:modified>
</cp:coreProperties>
</file>