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105" windowWidth="19320" windowHeight="9270" tabRatio="601"/>
  </bookViews>
  <sheets>
    <sheet name="Sec 1 Q1&amp;2" sheetId="1" r:id="rId1"/>
    <sheet name="Q3&amp;4" sheetId="7" r:id="rId2"/>
    <sheet name="Q5&amp;6" sheetId="2" r:id="rId3"/>
    <sheet name="Q7" sheetId="3" r:id="rId4"/>
    <sheet name="Sec 2 Q8&amp;9" sheetId="4" r:id="rId5"/>
    <sheet name="Q10&amp;11" sheetId="5" r:id="rId6"/>
    <sheet name="Q12" sheetId="8" r:id="rId7"/>
    <sheet name="Q12V2" sheetId="31" r:id="rId8"/>
    <sheet name="Q13&amp;14" sheetId="9" r:id="rId9"/>
    <sheet name="Sec 3 Q15" sheetId="11" r:id="rId10"/>
    <sheet name="Q16&amp;17" sheetId="12" r:id="rId11"/>
    <sheet name="Q18" sheetId="13" r:id="rId12"/>
    <sheet name="Q19" sheetId="14" r:id="rId13"/>
    <sheet name="Q20" sheetId="15" r:id="rId14"/>
    <sheet name="Q21&amp;Q22" sheetId="16" r:id="rId15"/>
    <sheet name="Q23&amp;24" sheetId="17" r:id="rId16"/>
    <sheet name="Q25&amp;26" sheetId="18" r:id="rId17"/>
    <sheet name="Q27&amp;28" sheetId="20" r:id="rId18"/>
    <sheet name="Q29" sheetId="21" r:id="rId19"/>
    <sheet name="Sec 4 Q30&amp;31" sheetId="22" r:id="rId20"/>
    <sheet name="Q32-34" sheetId="23" r:id="rId21"/>
    <sheet name="Q35" sheetId="24" r:id="rId22"/>
    <sheet name="Sec 5 Q36a-b" sheetId="25" r:id="rId23"/>
    <sheet name="Q36c" sheetId="26" r:id="rId24"/>
    <sheet name="Q36d-f" sheetId="27" r:id="rId25"/>
    <sheet name="Q37" sheetId="29" r:id="rId26"/>
    <sheet name="Q38&amp;39" sheetId="30" r:id="rId27"/>
  </sheets>
  <externalReferences>
    <externalReference r:id="rId28"/>
    <externalReference r:id="rId29"/>
    <externalReference r:id="rId30"/>
  </externalReferences>
  <definedNames>
    <definedName name="_edn1" localSheetId="6">'Q12'!$A$24</definedName>
    <definedName name="_ednref1" localSheetId="6">'Q12'!$A$11</definedName>
    <definedName name="_ftn1" localSheetId="0">'Sec 1 Q1&amp;2'!$A$35</definedName>
    <definedName name="_ftnref1" localSheetId="0">'Sec 1 Q1&amp;2'!$A$32</definedName>
    <definedName name="_Hlk176854599" localSheetId="22">'Sec 5 Q36a-b'!$A$6</definedName>
    <definedName name="_Hlk179963045" localSheetId="5">'Q10&amp;11'!$A$16</definedName>
    <definedName name="_Hlk216246730" localSheetId="19">'Sec 4 Q30&amp;31'!$A$10</definedName>
    <definedName name="AdultChild_PP">[1]ProgramParticipation!$BN:$BN</definedName>
    <definedName name="AdultOrChildAtLastEntry">[1]Client!$BO:$BO</definedName>
    <definedName name="AdultOrUnYouth">[1]Client!$BQ:$BQ</definedName>
    <definedName name="AgeAtLastEntry">[1]Client!$BN:$BN</definedName>
    <definedName name="AgencyID_PP">[1]ProgramParticipation!$B:$B</definedName>
    <definedName name="CheckDOB_DQ">[1]Client!$J:$J</definedName>
    <definedName name="ChronicHealth">[1]ClientHistorical!$N:$N</definedName>
    <definedName name="ClientHistoricalEntryExit">[1]ClientHistorical!$BC:$BC</definedName>
    <definedName name="ContactSite">[1]ServiceEvent!$S:$S</definedName>
    <definedName name="ContactSite2" localSheetId="7">[1]SvcEvent2!$AG:$AG</definedName>
    <definedName name="CorrectGrant" localSheetId="6">'Q12'!$H$1</definedName>
    <definedName name="CorrectGrant" localSheetId="7">Q12V2!$H$1</definedName>
    <definedName name="DateOfBirth">[1]Client!$I:$I</definedName>
    <definedName name="DateOfBirthQualityCode">[1]Client!$J:$J</definedName>
    <definedName name="Destination">[1]ProgramParticipation!$Q:$Q</definedName>
    <definedName name="DevDisability">[1]ClientHistorical!$L:$L</definedName>
    <definedName name="Disability">[1]ProgramParticipation!$I:$I</definedName>
    <definedName name="DuplicateClient">[1]Client!$X:$X</definedName>
    <definedName name="DV">[1]ClientHistorical!$X:$X</definedName>
    <definedName name="EntryIncomeBen">[1]IncomeBenefits!$O:$O</definedName>
    <definedName name="Ethnicity">[1]Client!$M:$M</definedName>
    <definedName name="ExitIncomeBen">[1]IncomeBenefits!$P:$P</definedName>
    <definedName name="ExitStatusPP">[1]ProgramParticipation!$CK:$CK</definedName>
    <definedName name="FirstName">[1]Client!$C:$C</definedName>
    <definedName name="Gender">[1]Client!$BK:$BK</definedName>
    <definedName name="HIV_AIDS">[1]ClientHistorical!$P:$P</definedName>
    <definedName name="HouseholdSize" localSheetId="6">[1]ServiceEvent!$AA:$AA</definedName>
    <definedName name="HouseholdSize" localSheetId="7">[1]ServiceEvent!$AA:$AA</definedName>
    <definedName name="HouseholdTypeClient" comment="Use for all HH questions except for Q8 and Q9.">[1]Client!$BR:$BR</definedName>
    <definedName name="HouseholdTypePP">[1]ProgramParticipation!$CJ:$CJ</definedName>
    <definedName name="HousingStatusAtEntry">[1]ProgramParticipation!$N:$N</definedName>
    <definedName name="HousingStatusAtExit">[1]ProgramParticipation!$O:$O</definedName>
    <definedName name="InClient">[1]ProgramParticipation!$BI:$BI</definedName>
    <definedName name="Income_MostRecent">[1]ProgramParticipation!$CM:$CM</definedName>
    <definedName name="Income_ReportEnd">[1]ProgramParticipation!$CP:$CP</definedName>
    <definedName name="IncomeAtEntry">[1]ProgramParticipation!$CL:$CL</definedName>
    <definedName name="IncomeBenDup">[1]IncomeBenefits!$R:$R</definedName>
    <definedName name="IncomeBenType">[1]IncomeBenefits!$G:$G</definedName>
    <definedName name="IncomeChange">[1]ProgramParticipation!$CO:$CO</definedName>
    <definedName name="IncomeLast30">[1]ClientHistorical!$H:$H</definedName>
    <definedName name="LastClientHistorical">[1]ClientHistorical!$BI:$BI</definedName>
    <definedName name="LastEpisode">[1]ProgramParticipation!$BJ:$BJ</definedName>
    <definedName name="LastZip">[1]ProgramParticipation!$L:$L</definedName>
    <definedName name="LengthOfStay_PP">[1]ProgramParticipation!$AI:$AI</definedName>
    <definedName name="LengthOfStay_Total">[1]Client!$BL:$BL</definedName>
    <definedName name="MentalHealth">[1]ClientHistorical!$R:$R</definedName>
    <definedName name="NonCashLast30">[1]ClientHistorical!$I:$I</definedName>
    <definedName name="NumberOfContacts" localSheetId="6">[1]ServiceEvent!$AL:$AL</definedName>
    <definedName name="NumberOfContacts2" localSheetId="7">[1]SvcEvent2!$AM:$AM</definedName>
    <definedName name="NumberOfContactsBeforeEngagement" localSheetId="6">[1]ServiceEvent!$AN:$AN</definedName>
    <definedName name="NumberOfContactsBeforeEngagement" localSheetId="7">[1]ServiceEvent!$AN:$AN</definedName>
    <definedName name="OLE_LINK1" localSheetId="2">'Q5&amp;6'!$B$17</definedName>
    <definedName name="OLE_LINK13" localSheetId="22">'Sec 5 Q36a-b'!$C$13</definedName>
    <definedName name="OLE_LINK5" localSheetId="1">'Q3&amp;4'!$F$29</definedName>
    <definedName name="OLE_LINK9" localSheetId="10">'Q16&amp;17'!$A$20</definedName>
    <definedName name="PhysDisability">[1]ClientHistorical!$J:$J</definedName>
    <definedName name="PointInTime1">[1]ProgramParticipation!$AO:$AO</definedName>
    <definedName name="PointInTime2">[1]ProgramParticipation!$AP:$AP</definedName>
    <definedName name="PointInTime3">[1]ProgramParticipation!$AQ:$AQ</definedName>
    <definedName name="PointInTime4">[1]ProgramParticipation!$AS:$AS</definedName>
    <definedName name="PrimaryRace">[1]Client!$K:$K</definedName>
    <definedName name="PriorResidence">[1]ProgramParticipation!$J:$J</definedName>
    <definedName name="ProgramExitDate">[1]ProgramParticipation!$F:$F</definedName>
    <definedName name="ProgramType">'Q3&amp;4'!$C$3</definedName>
    <definedName name="ProgramTypePP">[1]ProgramParticipation!$AB:$AB</definedName>
    <definedName name="ReportingColumn" localSheetId="6">[1]ServiceEvent!$Z:$Z</definedName>
    <definedName name="ReportingColumn" localSheetId="7">[1]ServiceEvent!$Z:$Z</definedName>
    <definedName name="SecondaryRace">[1]Client!$L:$L</definedName>
    <definedName name="SubstanceAbuse">[1]ClientHistorical!$U:$U</definedName>
    <definedName name="Veteran">[1]ProgramParticipation!$H:$H</definedName>
    <definedName name="ZipCode">[1]ProgramParticipation!$L:$L</definedName>
    <definedName name="ZipQuality">[1]ProgramParticipation!$M:$M</definedName>
  </definedNames>
  <calcPr calcId="125725"/>
</workbook>
</file>

<file path=xl/calcChain.xml><?xml version="1.0" encoding="utf-8"?>
<calcChain xmlns="http://schemas.openxmlformats.org/spreadsheetml/2006/main">
  <c r="R38" i="18"/>
  <c r="R36"/>
  <c r="R35"/>
  <c r="B34"/>
  <c r="R33"/>
  <c r="B33"/>
  <c r="B32"/>
  <c r="R31"/>
  <c r="B31"/>
  <c r="B30"/>
  <c r="R29"/>
  <c r="B28"/>
  <c r="R27"/>
  <c r="B26"/>
  <c r="R24"/>
  <c r="B23"/>
  <c r="R22"/>
  <c r="B22"/>
  <c r="B21"/>
  <c r="R20"/>
  <c r="B20"/>
  <c r="B19"/>
  <c r="R18"/>
  <c r="B18"/>
  <c r="B17"/>
  <c r="Z15"/>
  <c r="W15"/>
  <c r="T15"/>
  <c r="R15"/>
  <c r="N15"/>
  <c r="L15"/>
  <c r="J15"/>
  <c r="H15"/>
  <c r="F15"/>
  <c r="D15"/>
  <c r="B15"/>
  <c r="AD13"/>
  <c r="AE38" s="1"/>
  <c r="AB13"/>
  <c r="AC38" s="1"/>
  <c r="Z13"/>
  <c r="AA38" s="1"/>
  <c r="X13"/>
  <c r="Y38" s="1"/>
  <c r="V13"/>
  <c r="W38" s="1"/>
  <c r="AE12"/>
  <c r="AC12"/>
  <c r="AA12"/>
  <c r="Y12"/>
  <c r="W12"/>
  <c r="R12"/>
  <c r="B12"/>
  <c r="AE11"/>
  <c r="AC11"/>
  <c r="AA11"/>
  <c r="Y11"/>
  <c r="W11"/>
  <c r="R11"/>
  <c r="B11"/>
  <c r="AE9"/>
  <c r="AC9"/>
  <c r="AA9"/>
  <c r="Y9"/>
  <c r="W9"/>
  <c r="R9"/>
  <c r="B9"/>
  <c r="AE8"/>
  <c r="AC8"/>
  <c r="AA8"/>
  <c r="Y8"/>
  <c r="W8"/>
  <c r="T8"/>
  <c r="T13" s="1"/>
  <c r="H33" i="21"/>
  <c r="G33"/>
  <c r="F33"/>
  <c r="E33"/>
  <c r="D33"/>
  <c r="C33"/>
  <c r="B33"/>
  <c r="H32"/>
  <c r="G32"/>
  <c r="F32"/>
  <c r="E32"/>
  <c r="D32"/>
  <c r="C32"/>
  <c r="B32"/>
  <c r="B30"/>
  <c r="H29"/>
  <c r="G29"/>
  <c r="F29"/>
  <c r="E29"/>
  <c r="D29"/>
  <c r="C29"/>
  <c r="B29"/>
  <c r="H28"/>
  <c r="G28"/>
  <c r="F28"/>
  <c r="E28"/>
  <c r="D28"/>
  <c r="C28"/>
  <c r="B28"/>
  <c r="H27"/>
  <c r="G27"/>
  <c r="F27"/>
  <c r="E27"/>
  <c r="D27"/>
  <c r="C27"/>
  <c r="B27"/>
  <c r="H26"/>
  <c r="G26"/>
  <c r="F26"/>
  <c r="E26"/>
  <c r="D26"/>
  <c r="C26"/>
  <c r="B26"/>
  <c r="H24"/>
  <c r="G24"/>
  <c r="F24"/>
  <c r="E24"/>
  <c r="D24"/>
  <c r="C24"/>
  <c r="B24"/>
  <c r="H23"/>
  <c r="G23"/>
  <c r="F23"/>
  <c r="E23"/>
  <c r="D23"/>
  <c r="C23"/>
  <c r="B23"/>
  <c r="H22"/>
  <c r="G22"/>
  <c r="F22"/>
  <c r="E22"/>
  <c r="D22"/>
  <c r="C22"/>
  <c r="B22"/>
  <c r="H18"/>
  <c r="G18"/>
  <c r="F18"/>
  <c r="E18"/>
  <c r="D18"/>
  <c r="C18"/>
  <c r="B18"/>
  <c r="H16"/>
  <c r="G16"/>
  <c r="F16"/>
  <c r="E16"/>
  <c r="D16"/>
  <c r="C16"/>
  <c r="B16"/>
  <c r="H12"/>
  <c r="G12"/>
  <c r="F12"/>
  <c r="E12"/>
  <c r="D12"/>
  <c r="C12"/>
  <c r="B12"/>
  <c r="H10"/>
  <c r="G10"/>
  <c r="F10"/>
  <c r="E10"/>
  <c r="D10"/>
  <c r="C10"/>
  <c r="B10"/>
  <c r="H9"/>
  <c r="G9"/>
  <c r="F9"/>
  <c r="E9"/>
  <c r="D9"/>
  <c r="C9"/>
  <c r="B9"/>
  <c r="G36" i="20"/>
  <c r="F36"/>
  <c r="E36"/>
  <c r="D36"/>
  <c r="C36"/>
  <c r="B36"/>
  <c r="G35"/>
  <c r="F35"/>
  <c r="E35"/>
  <c r="D35"/>
  <c r="C35"/>
  <c r="B35"/>
  <c r="G34"/>
  <c r="F34"/>
  <c r="E34"/>
  <c r="D34"/>
  <c r="C34"/>
  <c r="B34"/>
  <c r="G33"/>
  <c r="F33"/>
  <c r="E33"/>
  <c r="D33"/>
  <c r="C33"/>
  <c r="B33"/>
  <c r="G31"/>
  <c r="F31"/>
  <c r="E31"/>
  <c r="D31"/>
  <c r="C31"/>
  <c r="B31"/>
  <c r="C30"/>
  <c r="C37" s="1"/>
  <c r="B30"/>
  <c r="B37" s="1"/>
  <c r="F17"/>
  <c r="D17"/>
  <c r="F16"/>
  <c r="D16"/>
  <c r="F15"/>
  <c r="D15"/>
  <c r="F14"/>
  <c r="D14"/>
  <c r="F13"/>
  <c r="D13"/>
  <c r="F12"/>
  <c r="D12"/>
  <c r="F11"/>
  <c r="D11"/>
  <c r="F10"/>
  <c r="D10"/>
  <c r="F9"/>
  <c r="D9"/>
  <c r="F8"/>
  <c r="F18" s="1"/>
  <c r="D8"/>
  <c r="D18" s="1"/>
  <c r="B14" l="1"/>
  <c r="B13"/>
  <c r="U38" i="18"/>
  <c r="U12"/>
  <c r="U11"/>
  <c r="U9"/>
  <c r="U8"/>
  <c r="R8"/>
  <c r="R13" s="1"/>
  <c r="S38" s="1"/>
  <c r="B16" i="20"/>
  <c r="B17"/>
  <c r="B15"/>
  <c r="S8" i="18"/>
  <c r="U15"/>
  <c r="Y15"/>
  <c r="AA15"/>
  <c r="AE15"/>
  <c r="W18"/>
  <c r="AA18"/>
  <c r="AE18"/>
  <c r="W20"/>
  <c r="AA20"/>
  <c r="AE20"/>
  <c r="W22"/>
  <c r="AA22"/>
  <c r="AE22"/>
  <c r="W24"/>
  <c r="AA24"/>
  <c r="AE24"/>
  <c r="W27"/>
  <c r="AA27"/>
  <c r="AE27"/>
  <c r="W29"/>
  <c r="AA29"/>
  <c r="AE29"/>
  <c r="W31"/>
  <c r="AA31"/>
  <c r="AE31"/>
  <c r="W33"/>
  <c r="AA33"/>
  <c r="AE33"/>
  <c r="W35"/>
  <c r="AA35"/>
  <c r="AE35"/>
  <c r="W36"/>
  <c r="AA36"/>
  <c r="AE36"/>
  <c r="AC15"/>
  <c r="U18"/>
  <c r="Y18"/>
  <c r="AC18"/>
  <c r="U20"/>
  <c r="Y20"/>
  <c r="AC20"/>
  <c r="U22"/>
  <c r="Y22"/>
  <c r="AC22"/>
  <c r="U24"/>
  <c r="Y24"/>
  <c r="AC24"/>
  <c r="U27"/>
  <c r="Y27"/>
  <c r="AC27"/>
  <c r="U29"/>
  <c r="Y29"/>
  <c r="AC29"/>
  <c r="U31"/>
  <c r="Y31"/>
  <c r="AC31"/>
  <c r="U33"/>
  <c r="Y33"/>
  <c r="AC33"/>
  <c r="U35"/>
  <c r="Y35"/>
  <c r="AC35"/>
  <c r="U36"/>
  <c r="Y36"/>
  <c r="AC36"/>
  <c r="B9" i="20"/>
  <c r="B10"/>
  <c r="B11"/>
  <c r="B12"/>
  <c r="D20"/>
  <c r="E17"/>
  <c r="E16"/>
  <c r="E15"/>
  <c r="E14"/>
  <c r="E13"/>
  <c r="E12"/>
  <c r="E11"/>
  <c r="E10"/>
  <c r="E9"/>
  <c r="E8"/>
  <c r="G17"/>
  <c r="G16"/>
  <c r="G15"/>
  <c r="G14"/>
  <c r="G13"/>
  <c r="G12"/>
  <c r="G11"/>
  <c r="G10"/>
  <c r="G9"/>
  <c r="G8"/>
  <c r="F20"/>
  <c r="B8"/>
  <c r="S12" i="18" l="1"/>
  <c r="S24"/>
  <c r="S9"/>
  <c r="S18"/>
  <c r="S33"/>
  <c r="S11"/>
  <c r="S15"/>
  <c r="S20"/>
  <c r="S29"/>
  <c r="S36"/>
  <c r="S22"/>
  <c r="S27"/>
  <c r="S31"/>
  <c r="S35"/>
  <c r="B18" i="20"/>
  <c r="C16" s="1"/>
  <c r="C11" l="1"/>
  <c r="C15"/>
  <c r="C9"/>
  <c r="C13"/>
  <c r="C17"/>
  <c r="C8"/>
  <c r="C10"/>
  <c r="C12"/>
  <c r="C14"/>
  <c r="T12" i="9"/>
  <c r="T11"/>
  <c r="T10"/>
  <c r="T9"/>
  <c r="T8"/>
  <c r="N12"/>
  <c r="N11"/>
  <c r="N10"/>
  <c r="N9"/>
  <c r="N8"/>
  <c r="H12"/>
  <c r="H11"/>
  <c r="H10"/>
  <c r="H9"/>
  <c r="H8"/>
  <c r="H1" i="31" l="1"/>
  <c r="C9" i="4"/>
  <c r="B9" l="1"/>
  <c r="E9"/>
  <c r="D9"/>
  <c r="D20" i="3"/>
  <c r="D19"/>
  <c r="D26"/>
  <c r="D25"/>
  <c r="D24"/>
  <c r="D23"/>
  <c r="D22"/>
  <c r="D21"/>
  <c r="O36" i="16" l="1"/>
  <c r="O35"/>
  <c r="O34"/>
  <c r="O33"/>
  <c r="O32"/>
  <c r="O31"/>
  <c r="O30"/>
  <c r="O27"/>
  <c r="O26"/>
  <c r="O25"/>
  <c r="O24"/>
  <c r="O23"/>
  <c r="O22"/>
  <c r="O21"/>
  <c r="M36"/>
  <c r="M35"/>
  <c r="M34"/>
  <c r="M33"/>
  <c r="M32"/>
  <c r="M31"/>
  <c r="M30"/>
  <c r="M27"/>
  <c r="M26"/>
  <c r="M25"/>
  <c r="M24"/>
  <c r="M23"/>
  <c r="M22"/>
  <c r="M21"/>
  <c r="K36"/>
  <c r="K35"/>
  <c r="K34"/>
  <c r="K33"/>
  <c r="K32"/>
  <c r="K31"/>
  <c r="K30"/>
  <c r="K27"/>
  <c r="K26"/>
  <c r="K25"/>
  <c r="K24"/>
  <c r="K23"/>
  <c r="K22"/>
  <c r="K21"/>
  <c r="F28" l="1"/>
  <c r="G35" s="1"/>
  <c r="H29" i="15"/>
  <c r="F29"/>
  <c r="D29"/>
  <c r="B29"/>
  <c r="H24"/>
  <c r="F24"/>
  <c r="D24"/>
  <c r="B24"/>
  <c r="H23"/>
  <c r="F23"/>
  <c r="D23"/>
  <c r="B23"/>
  <c r="H21"/>
  <c r="F21"/>
  <c r="D21"/>
  <c r="B21"/>
  <c r="H20"/>
  <c r="F20"/>
  <c r="D20"/>
  <c r="B20"/>
  <c r="H19"/>
  <c r="F19"/>
  <c r="D19"/>
  <c r="B19"/>
  <c r="H17"/>
  <c r="F17"/>
  <c r="D17"/>
  <c r="B17"/>
  <c r="H16"/>
  <c r="F16"/>
  <c r="D16"/>
  <c r="B16"/>
  <c r="H15"/>
  <c r="F15"/>
  <c r="D15"/>
  <c r="B15"/>
  <c r="H14"/>
  <c r="F14"/>
  <c r="D14"/>
  <c r="B14"/>
  <c r="H13"/>
  <c r="F13"/>
  <c r="D13"/>
  <c r="B13"/>
  <c r="H11"/>
  <c r="F11"/>
  <c r="D11"/>
  <c r="B11"/>
  <c r="H9"/>
  <c r="F9"/>
  <c r="D9"/>
  <c r="B9"/>
  <c r="G22" i="16" l="1"/>
  <c r="G24"/>
  <c r="G26"/>
  <c r="G30"/>
  <c r="G32"/>
  <c r="G34"/>
  <c r="G36"/>
  <c r="G21"/>
  <c r="G23"/>
  <c r="G25"/>
  <c r="G27"/>
  <c r="G31"/>
  <c r="G33"/>
  <c r="H16" i="12" l="1"/>
  <c r="F16"/>
  <c r="D16"/>
  <c r="B16"/>
  <c r="H42"/>
  <c r="F42"/>
  <c r="D42"/>
  <c r="B42"/>
  <c r="H41"/>
  <c r="F41"/>
  <c r="D41"/>
  <c r="B41"/>
  <c r="B39"/>
  <c r="H38"/>
  <c r="F38"/>
  <c r="D38"/>
  <c r="B38"/>
  <c r="H37"/>
  <c r="F37"/>
  <c r="D37"/>
  <c r="B37"/>
  <c r="H35"/>
  <c r="F35"/>
  <c r="D35"/>
  <c r="B35"/>
  <c r="H34"/>
  <c r="F34"/>
  <c r="D34"/>
  <c r="B34"/>
  <c r="H29"/>
  <c r="F29"/>
  <c r="D29"/>
  <c r="B29"/>
  <c r="D10" i="3" l="1"/>
  <c r="D7"/>
  <c r="B11" i="9" l="1"/>
  <c r="B10"/>
  <c r="B9"/>
  <c r="B8"/>
  <c r="D11" i="3" l="1"/>
  <c r="D9"/>
  <c r="D8"/>
  <c r="H1" i="8" l="1"/>
  <c r="G2" i="4"/>
  <c r="I24" i="2" l="1"/>
  <c r="I23"/>
  <c r="I22"/>
  <c r="F8"/>
  <c r="G8"/>
  <c r="H8"/>
  <c r="D27" i="3" l="1"/>
  <c r="E27"/>
  <c r="B23" i="13" l="1"/>
  <c r="H8"/>
  <c r="D18" i="14"/>
  <c r="E18" s="1"/>
  <c r="H15"/>
  <c r="I15" s="1"/>
  <c r="F18"/>
  <c r="G18" s="1"/>
  <c r="L11" i="13"/>
  <c r="F9" i="14"/>
  <c r="H10"/>
  <c r="L17" i="13"/>
  <c r="B21"/>
  <c r="F11" i="14"/>
  <c r="D10" i="13"/>
  <c r="D22"/>
  <c r="H18"/>
  <c r="J12"/>
  <c r="F21"/>
  <c r="H11" i="14"/>
  <c r="B19" i="13"/>
  <c r="B9" i="14"/>
  <c r="D18" i="13"/>
  <c r="D21"/>
  <c r="F10" i="14"/>
  <c r="L13" i="13"/>
  <c r="L22"/>
  <c r="B20"/>
  <c r="L9"/>
  <c r="D17"/>
  <c r="J11"/>
  <c r="F16" i="14"/>
  <c r="G16" s="1"/>
  <c r="F19"/>
  <c r="G19" s="1"/>
  <c r="B15"/>
  <c r="C15" s="1"/>
  <c r="D15"/>
  <c r="E15" s="1"/>
  <c r="D17"/>
  <c r="E17" s="1"/>
  <c r="H14"/>
  <c r="I14" s="1"/>
  <c r="D9"/>
  <c r="B11" i="13"/>
  <c r="B22"/>
  <c r="B10" i="14"/>
  <c r="F9" i="13"/>
  <c r="F19"/>
  <c r="F23"/>
  <c r="B11" i="14"/>
  <c r="D19" i="13"/>
  <c r="H10"/>
  <c r="H13"/>
  <c r="F14" i="14"/>
  <c r="G14" s="1"/>
  <c r="F17"/>
  <c r="G17" s="1"/>
  <c r="D16"/>
  <c r="E16" s="1"/>
  <c r="H18"/>
  <c r="I18" s="1"/>
  <c r="D19"/>
  <c r="E19" s="1"/>
  <c r="B18"/>
  <c r="C18" s="1"/>
  <c r="H16"/>
  <c r="I16" s="1"/>
  <c r="B19"/>
  <c r="C19" s="1"/>
  <c r="B16"/>
  <c r="C16" s="1"/>
  <c r="D20" i="13"/>
  <c r="J9"/>
  <c r="J13"/>
  <c r="F17"/>
  <c r="B10"/>
  <c r="J21"/>
  <c r="H11"/>
  <c r="J17"/>
  <c r="J20"/>
  <c r="H12"/>
  <c r="H17"/>
  <c r="B13"/>
  <c r="F13"/>
  <c r="J19"/>
  <c r="D13"/>
  <c r="B14"/>
  <c r="L20"/>
  <c r="D14"/>
  <c r="F20"/>
  <c r="H9"/>
  <c r="D9"/>
  <c r="B17"/>
  <c r="H17" i="14"/>
  <c r="I17" s="1"/>
  <c r="B17"/>
  <c r="C17" s="1"/>
  <c r="B14"/>
  <c r="C14" s="1"/>
  <c r="H19"/>
  <c r="I19" s="1"/>
  <c r="D14"/>
  <c r="E14" s="1"/>
  <c r="F15"/>
  <c r="G15" s="1"/>
  <c r="F10" i="13"/>
  <c r="D10" i="14"/>
  <c r="H23" i="13"/>
  <c r="D11" i="14"/>
  <c r="J18" i="13"/>
  <c r="J10"/>
  <c r="H22"/>
  <c r="H9" i="14"/>
  <c r="L12" i="13"/>
  <c r="B18"/>
  <c r="L21"/>
  <c r="L19"/>
  <c r="F8" i="14"/>
  <c r="F22" i="13"/>
  <c r="B12"/>
  <c r="L18"/>
  <c r="F14"/>
  <c r="D8" i="14"/>
  <c r="L8" i="13"/>
  <c r="J14"/>
  <c r="F8"/>
  <c r="L14"/>
  <c r="D12"/>
  <c r="H21"/>
  <c r="B9"/>
  <c r="J22"/>
  <c r="L10"/>
  <c r="B8" i="14"/>
  <c r="J8" i="13"/>
  <c r="D11"/>
  <c r="D23"/>
  <c r="H19"/>
  <c r="J23"/>
  <c r="F18"/>
  <c r="B8"/>
  <c r="F12"/>
  <c r="H8" i="14"/>
  <c r="D8" i="13"/>
  <c r="H14"/>
  <c r="F11"/>
  <c r="H20"/>
  <c r="L23"/>
  <c r="D12" i="14" l="1"/>
  <c r="D15" i="13"/>
  <c r="B12" i="14"/>
  <c r="H12"/>
  <c r="B15" i="13"/>
  <c r="J15"/>
  <c r="F15"/>
  <c r="L15"/>
  <c r="F12" i="14"/>
  <c r="H15" i="13"/>
  <c r="G9" i="14" l="1"/>
  <c r="G11"/>
  <c r="G10"/>
  <c r="G8"/>
  <c r="C19" i="13"/>
  <c r="C21"/>
  <c r="C23"/>
  <c r="C10"/>
  <c r="C12"/>
  <c r="C14"/>
  <c r="C18"/>
  <c r="C20"/>
  <c r="C22"/>
  <c r="C17"/>
  <c r="C9"/>
  <c r="C11"/>
  <c r="C13"/>
  <c r="C8"/>
  <c r="C9" i="14"/>
  <c r="C11"/>
  <c r="C10"/>
  <c r="C8"/>
  <c r="E9"/>
  <c r="E11"/>
  <c r="E10"/>
  <c r="E8"/>
  <c r="G19" i="13"/>
  <c r="G21"/>
  <c r="G23"/>
  <c r="G10"/>
  <c r="G12"/>
  <c r="G14"/>
  <c r="G18"/>
  <c r="G20"/>
  <c r="G22"/>
  <c r="G17"/>
  <c r="G9"/>
  <c r="G11"/>
  <c r="G13"/>
  <c r="G8"/>
  <c r="I18"/>
  <c r="I20"/>
  <c r="I22"/>
  <c r="I17"/>
  <c r="I9"/>
  <c r="I11"/>
  <c r="I13"/>
  <c r="I8"/>
  <c r="I19"/>
  <c r="I21"/>
  <c r="I23"/>
  <c r="I10"/>
  <c r="I12"/>
  <c r="I14"/>
  <c r="M23"/>
  <c r="M18"/>
  <c r="M20"/>
  <c r="M22"/>
  <c r="M9"/>
  <c r="M11"/>
  <c r="M13"/>
  <c r="M8"/>
  <c r="M17"/>
  <c r="M19"/>
  <c r="M21"/>
  <c r="M10"/>
  <c r="M12"/>
  <c r="M14"/>
  <c r="K19"/>
  <c r="K21"/>
  <c r="K23"/>
  <c r="K10"/>
  <c r="K12"/>
  <c r="K14"/>
  <c r="K18"/>
  <c r="K20"/>
  <c r="K22"/>
  <c r="K17"/>
  <c r="K9"/>
  <c r="K11"/>
  <c r="K13"/>
  <c r="K8"/>
  <c r="I9" i="14"/>
  <c r="I11"/>
  <c r="I10"/>
  <c r="I8"/>
  <c r="E18" i="13"/>
  <c r="E20"/>
  <c r="E22"/>
  <c r="E17"/>
  <c r="E9"/>
  <c r="E11"/>
  <c r="E13"/>
  <c r="E8"/>
  <c r="E19"/>
  <c r="E21"/>
  <c r="E23"/>
  <c r="E10"/>
  <c r="E12"/>
  <c r="E14"/>
  <c r="H25" i="16"/>
  <c r="J22"/>
  <c r="B36" l="1"/>
  <c r="F27"/>
  <c r="F32"/>
  <c r="F33"/>
  <c r="F21"/>
  <c r="N31"/>
  <c r="J33"/>
  <c r="H32"/>
  <c r="L21"/>
  <c r="N34"/>
  <c r="B31"/>
  <c r="D33"/>
  <c r="J35"/>
  <c r="D34"/>
  <c r="F22"/>
  <c r="L32"/>
  <c r="B21"/>
  <c r="L24"/>
  <c r="L36"/>
  <c r="B26"/>
  <c r="N33"/>
  <c r="L27"/>
  <c r="H21"/>
  <c r="H34"/>
  <c r="H23"/>
  <c r="L26"/>
  <c r="L22"/>
  <c r="N22"/>
  <c r="N24"/>
  <c r="J21"/>
  <c r="F25"/>
  <c r="J26"/>
  <c r="F24"/>
  <c r="F31"/>
  <c r="J25"/>
  <c r="L34"/>
  <c r="L23"/>
  <c r="J23"/>
  <c r="J27"/>
  <c r="N25"/>
  <c r="J32"/>
  <c r="J24"/>
  <c r="L25"/>
  <c r="H26"/>
  <c r="D30"/>
  <c r="D27"/>
  <c r="D23"/>
  <c r="D36"/>
  <c r="D32"/>
  <c r="H31"/>
  <c r="B27"/>
  <c r="H22"/>
  <c r="B23"/>
  <c r="L33"/>
  <c r="J34"/>
  <c r="N32"/>
  <c r="J30"/>
  <c r="J31"/>
  <c r="L35"/>
  <c r="F23"/>
  <c r="N35"/>
  <c r="F30"/>
  <c r="H33"/>
  <c r="H36"/>
  <c r="D31"/>
  <c r="D25"/>
  <c r="B25"/>
  <c r="B35"/>
  <c r="B33"/>
  <c r="D35"/>
  <c r="D26"/>
  <c r="H35"/>
  <c r="N23"/>
  <c r="B30"/>
  <c r="F36"/>
  <c r="N26"/>
  <c r="F35"/>
  <c r="H24"/>
  <c r="D24"/>
  <c r="L31"/>
  <c r="F26"/>
  <c r="B22"/>
  <c r="B34"/>
  <c r="N36"/>
  <c r="B32"/>
  <c r="B24"/>
  <c r="N21"/>
  <c r="F34"/>
  <c r="D21"/>
  <c r="N30"/>
  <c r="H27"/>
  <c r="J36"/>
  <c r="L30"/>
  <c r="N27"/>
  <c r="D22"/>
  <c r="H30"/>
  <c r="D28" l="1"/>
  <c r="H28"/>
  <c r="B28"/>
  <c r="I35" l="1"/>
  <c r="I33"/>
  <c r="I31"/>
  <c r="I27"/>
  <c r="I25"/>
  <c r="I23"/>
  <c r="I21"/>
  <c r="I36"/>
  <c r="I34"/>
  <c r="I32"/>
  <c r="I30"/>
  <c r="I26"/>
  <c r="I24"/>
  <c r="I22"/>
  <c r="E35"/>
  <c r="E33"/>
  <c r="E31"/>
  <c r="E27"/>
  <c r="E25"/>
  <c r="E23"/>
  <c r="E21"/>
  <c r="E36"/>
  <c r="E34"/>
  <c r="E32"/>
  <c r="E30"/>
  <c r="E26"/>
  <c r="E24"/>
  <c r="E22"/>
  <c r="C35"/>
  <c r="C33"/>
  <c r="C31"/>
  <c r="C27"/>
  <c r="C25"/>
  <c r="C23"/>
  <c r="C21"/>
  <c r="C36"/>
  <c r="C34"/>
  <c r="C32"/>
  <c r="C30"/>
  <c r="C26"/>
  <c r="C24"/>
  <c r="C22"/>
  <c r="E26" i="3" l="1"/>
  <c r="E25"/>
  <c r="E24"/>
  <c r="E23"/>
  <c r="E22"/>
  <c r="E21"/>
  <c r="B28" i="12" l="1"/>
  <c r="E10" i="4" l="1"/>
  <c r="C10"/>
  <c r="B10"/>
  <c r="D10"/>
  <c r="B30" i="12"/>
  <c r="B43"/>
  <c r="B33"/>
  <c r="B40"/>
  <c r="B22" i="15" l="1"/>
  <c r="B45" i="12"/>
  <c r="B30" i="15" l="1"/>
  <c r="B12" i="9"/>
  <c r="H30" i="15"/>
  <c r="D30"/>
  <c r="F30"/>
  <c r="H30" i="12" l="1"/>
  <c r="H43"/>
  <c r="D30"/>
  <c r="F30"/>
  <c r="D43"/>
  <c r="F43"/>
  <c r="E7" i="3"/>
  <c r="E5"/>
  <c r="E6"/>
  <c r="E10"/>
  <c r="E11"/>
  <c r="E8"/>
  <c r="B21" i="4" l="1"/>
  <c r="B20" l="1"/>
  <c r="B19"/>
  <c r="B18"/>
  <c r="B14" l="1"/>
  <c r="C5" i="3"/>
  <c r="G5" s="1"/>
  <c r="C21"/>
  <c r="B27" i="12"/>
  <c r="B31" s="1"/>
  <c r="B36"/>
  <c r="B46" l="1"/>
  <c r="B44"/>
  <c r="C27"/>
  <c r="C30"/>
  <c r="C29"/>
  <c r="C28"/>
  <c r="F21" i="3"/>
  <c r="G21"/>
  <c r="C19"/>
  <c r="C25"/>
  <c r="C13"/>
  <c r="C10"/>
  <c r="C22"/>
  <c r="C26"/>
  <c r="C24"/>
  <c r="C23"/>
  <c r="C14"/>
  <c r="C17"/>
  <c r="C16"/>
  <c r="C8"/>
  <c r="C6"/>
  <c r="G6" s="1"/>
  <c r="C7"/>
  <c r="C11"/>
  <c r="C9"/>
  <c r="F9" l="1"/>
  <c r="F7"/>
  <c r="G7"/>
  <c r="F8"/>
  <c r="G8"/>
  <c r="F10"/>
  <c r="G10"/>
  <c r="F11"/>
  <c r="G11"/>
  <c r="G23"/>
  <c r="F23"/>
  <c r="G24"/>
  <c r="F24"/>
  <c r="G26"/>
  <c r="F26"/>
  <c r="G22"/>
  <c r="F22"/>
  <c r="F25"/>
  <c r="G25"/>
  <c r="F19"/>
  <c r="C34" i="12"/>
  <c r="C37"/>
  <c r="C40"/>
  <c r="C43"/>
  <c r="C44"/>
  <c r="C36"/>
  <c r="C39"/>
  <c r="C42"/>
  <c r="C45"/>
  <c r="C35"/>
  <c r="C38"/>
  <c r="C41"/>
  <c r="C33"/>
  <c r="B9" i="8" l="1"/>
  <c r="D6"/>
  <c r="B6"/>
  <c r="B8"/>
  <c r="D7"/>
  <c r="E6"/>
  <c r="E8"/>
  <c r="D8"/>
  <c r="B7"/>
  <c r="D9"/>
  <c r="E7"/>
  <c r="E9"/>
  <c r="F9" l="1"/>
  <c r="F6"/>
  <c r="B10"/>
  <c r="F7"/>
  <c r="D12"/>
  <c r="B12"/>
  <c r="B14"/>
  <c r="D13"/>
  <c r="E12"/>
  <c r="E14"/>
  <c r="D14"/>
  <c r="B13"/>
  <c r="B15"/>
  <c r="D15"/>
  <c r="E13"/>
  <c r="E15"/>
  <c r="E10"/>
  <c r="F8"/>
  <c r="D10"/>
  <c r="B16" l="1"/>
  <c r="B18" s="1"/>
  <c r="F12"/>
  <c r="F13"/>
  <c r="F15"/>
  <c r="E16"/>
  <c r="E18" s="1"/>
  <c r="F14"/>
  <c r="D16"/>
  <c r="D18" s="1"/>
  <c r="F10"/>
  <c r="F16" l="1"/>
  <c r="F18" s="1"/>
  <c r="D9" i="31" l="1"/>
  <c r="B8"/>
  <c r="D8"/>
  <c r="E8"/>
  <c r="E9"/>
  <c r="C8"/>
  <c r="C9"/>
  <c r="B9"/>
  <c r="H4"/>
  <c r="F8" l="1"/>
  <c r="F9"/>
  <c r="D6"/>
  <c r="C12"/>
  <c r="C7" l="1"/>
  <c r="B15"/>
  <c r="D13"/>
  <c r="B12"/>
  <c r="B14"/>
  <c r="D14"/>
  <c r="E14"/>
  <c r="D15"/>
  <c r="E15"/>
  <c r="C14"/>
  <c r="E13"/>
  <c r="C13"/>
  <c r="D12"/>
  <c r="D16" s="1"/>
  <c r="E12"/>
  <c r="E16" s="1"/>
  <c r="C15"/>
  <c r="B13"/>
  <c r="F13" s="1"/>
  <c r="C6"/>
  <c r="C10" s="1"/>
  <c r="C18" s="1"/>
  <c r="E7"/>
  <c r="E6"/>
  <c r="D7"/>
  <c r="D10" s="1"/>
  <c r="D18" s="1"/>
  <c r="B7"/>
  <c r="B6"/>
  <c r="G4"/>
  <c r="E10" l="1"/>
  <c r="E18" s="1"/>
  <c r="C16"/>
  <c r="B16"/>
  <c r="F12"/>
  <c r="F15"/>
  <c r="F14"/>
  <c r="F7"/>
  <c r="F6"/>
  <c r="B10"/>
  <c r="B18" s="1"/>
  <c r="F16" l="1"/>
  <c r="F10"/>
  <c r="F18" l="1"/>
  <c r="B15" i="21" l="1"/>
  <c r="F30" i="20"/>
  <c r="F37" s="1"/>
  <c r="D30"/>
  <c r="D37" s="1"/>
  <c r="E28" i="3"/>
  <c r="D28"/>
  <c r="C18"/>
  <c r="C28" l="1"/>
  <c r="C20"/>
  <c r="F20" s="1"/>
  <c r="F28"/>
  <c r="G28"/>
  <c r="B35" i="21"/>
  <c r="G30" i="20"/>
  <c r="G37" s="1"/>
  <c r="B26" i="15"/>
  <c r="B11" i="21"/>
  <c r="B7" i="9"/>
  <c r="B13" s="1"/>
  <c r="D16" i="3"/>
  <c r="F16" s="1"/>
  <c r="B8" i="15"/>
  <c r="E30" i="20"/>
  <c r="E37" s="1"/>
  <c r="E16" i="3"/>
  <c r="G16" s="1"/>
  <c r="B27" i="15"/>
  <c r="B21" i="21"/>
  <c r="B34"/>
  <c r="B10" i="15"/>
  <c r="B13" i="21"/>
  <c r="B19"/>
  <c r="B28" i="15"/>
  <c r="B14" i="21"/>
  <c r="B25" i="15"/>
  <c r="B20" i="21"/>
  <c r="B31" i="15" l="1"/>
  <c r="E7" i="9"/>
  <c r="E12"/>
  <c r="E9"/>
  <c r="E8"/>
  <c r="E11"/>
  <c r="E10"/>
  <c r="B36" i="21"/>
  <c r="F17" i="12" l="1"/>
  <c r="F9"/>
  <c r="D13"/>
  <c r="D12"/>
  <c r="H8"/>
  <c r="D15"/>
  <c r="B9"/>
  <c r="D17"/>
  <c r="H9"/>
  <c r="B14"/>
  <c r="F8"/>
  <c r="F14"/>
  <c r="F13"/>
  <c r="H17"/>
  <c r="B13"/>
  <c r="B11"/>
  <c r="B12"/>
  <c r="D14"/>
  <c r="B15"/>
  <c r="F12"/>
  <c r="B10"/>
  <c r="F15"/>
  <c r="B8"/>
  <c r="B17"/>
  <c r="E9" i="3"/>
  <c r="G9" s="1"/>
  <c r="B7" i="12"/>
  <c r="C13" i="15"/>
  <c r="C15"/>
  <c r="C26"/>
  <c r="C29"/>
  <c r="C20"/>
  <c r="C23"/>
  <c r="C9"/>
  <c r="C11"/>
  <c r="C22"/>
  <c r="C21"/>
  <c r="C27"/>
  <c r="C30"/>
  <c r="C28"/>
  <c r="C16"/>
  <c r="C19"/>
  <c r="C24"/>
  <c r="C14"/>
  <c r="C25"/>
  <c r="C10"/>
  <c r="C17"/>
  <c r="C8"/>
  <c r="D18" i="3"/>
  <c r="F18" s="1"/>
  <c r="D17"/>
  <c r="F17" s="1"/>
  <c r="E10" i="17"/>
  <c r="C9"/>
  <c r="B33"/>
  <c r="D9"/>
  <c r="C16"/>
  <c r="B15"/>
  <c r="F17"/>
  <c r="B10"/>
  <c r="C18"/>
  <c r="F33"/>
  <c r="F9"/>
  <c r="B30"/>
  <c r="C33"/>
  <c r="F37"/>
  <c r="C12"/>
  <c r="D17"/>
  <c r="C29"/>
  <c r="C8"/>
  <c r="D31"/>
  <c r="B36"/>
  <c r="E29"/>
  <c r="C34"/>
  <c r="F31"/>
  <c r="F12"/>
  <c r="E37"/>
  <c r="F34"/>
  <c r="E12"/>
  <c r="C36"/>
  <c r="C35"/>
  <c r="B8"/>
  <c r="B37"/>
  <c r="D32"/>
  <c r="F11"/>
  <c r="D34"/>
  <c r="D37"/>
  <c r="F16"/>
  <c r="B7"/>
  <c r="E34"/>
  <c r="E7"/>
  <c r="B11"/>
  <c r="E32"/>
  <c r="E35"/>
  <c r="B14"/>
  <c r="C30"/>
  <c r="F13"/>
  <c r="F14"/>
  <c r="F27"/>
  <c r="B29"/>
  <c r="B32"/>
  <c r="E14"/>
  <c r="E28"/>
  <c r="E16"/>
  <c r="D14"/>
  <c r="B27"/>
  <c r="E17"/>
  <c r="C7"/>
  <c r="F38"/>
  <c r="D18"/>
  <c r="E30"/>
  <c r="C13"/>
  <c r="D8"/>
  <c r="C10"/>
  <c r="D28"/>
  <c r="B31"/>
  <c r="B9"/>
  <c r="C27"/>
  <c r="E38"/>
  <c r="F8"/>
  <c r="B35"/>
  <c r="C14"/>
  <c r="D33"/>
  <c r="B28"/>
  <c r="D38"/>
  <c r="C28"/>
  <c r="D35"/>
  <c r="B16"/>
  <c r="F7"/>
  <c r="C37"/>
  <c r="F36"/>
  <c r="D29"/>
  <c r="F10"/>
  <c r="E18"/>
  <c r="E13"/>
  <c r="D13"/>
  <c r="D12"/>
  <c r="F30"/>
  <c r="C38"/>
  <c r="E9"/>
  <c r="E15"/>
  <c r="C31"/>
  <c r="F35"/>
  <c r="E8"/>
  <c r="C17"/>
  <c r="C32"/>
  <c r="D30"/>
  <c r="D11"/>
  <c r="F15"/>
  <c r="B13"/>
  <c r="B18"/>
  <c r="E27"/>
  <c r="E33"/>
  <c r="D16"/>
  <c r="F29"/>
  <c r="C11"/>
  <c r="B34"/>
  <c r="E11"/>
  <c r="B12"/>
  <c r="B38"/>
  <c r="E36"/>
  <c r="D36"/>
  <c r="D10"/>
  <c r="D15"/>
  <c r="C15"/>
  <c r="E31"/>
  <c r="F18"/>
  <c r="B17"/>
  <c r="F32"/>
  <c r="F28"/>
  <c r="B26"/>
  <c r="B39" s="1"/>
  <c r="F6"/>
  <c r="B6"/>
  <c r="B19" s="1"/>
  <c r="L8" i="18"/>
  <c r="L13" s="1"/>
  <c r="F26" i="17"/>
  <c r="F39" s="1"/>
  <c r="D27"/>
  <c r="D39" s="1"/>
  <c r="N8" i="18"/>
  <c r="N13" s="1"/>
  <c r="J8"/>
  <c r="J13" s="1"/>
  <c r="E26" i="17"/>
  <c r="E39" s="1"/>
  <c r="C26"/>
  <c r="C39" s="1"/>
  <c r="E6"/>
  <c r="E19" s="1"/>
  <c r="H8" i="18"/>
  <c r="H13" s="1"/>
  <c r="D8"/>
  <c r="C6" i="17"/>
  <c r="C19" s="1"/>
  <c r="F8" i="18"/>
  <c r="F13" s="1"/>
  <c r="D7" i="17"/>
  <c r="D19" s="1"/>
  <c r="D10" i="11"/>
  <c r="E17" i="3"/>
  <c r="G17" s="1"/>
  <c r="E20"/>
  <c r="G20" s="1"/>
  <c r="E19"/>
  <c r="G19" s="1"/>
  <c r="E18"/>
  <c r="G18" s="1"/>
  <c r="B18" i="12" l="1"/>
  <c r="F19" i="17"/>
  <c r="G17" i="18"/>
  <c r="G8"/>
  <c r="G20"/>
  <c r="G12"/>
  <c r="G32"/>
  <c r="G19"/>
  <c r="G28"/>
  <c r="G21"/>
  <c r="G31"/>
  <c r="G18"/>
  <c r="G15"/>
  <c r="G11"/>
  <c r="G23"/>
  <c r="G33"/>
  <c r="G22"/>
  <c r="G26"/>
  <c r="G34"/>
  <c r="G9"/>
  <c r="G30"/>
  <c r="I28"/>
  <c r="I21"/>
  <c r="I26"/>
  <c r="I18"/>
  <c r="I23"/>
  <c r="I33"/>
  <c r="I30"/>
  <c r="I19"/>
  <c r="I31"/>
  <c r="I11"/>
  <c r="I12"/>
  <c r="I34"/>
  <c r="I22"/>
  <c r="I32"/>
  <c r="I17"/>
  <c r="I8"/>
  <c r="I9"/>
  <c r="I20"/>
  <c r="I15"/>
  <c r="K8"/>
  <c r="K30"/>
  <c r="K11"/>
  <c r="K9"/>
  <c r="K28"/>
  <c r="K12"/>
  <c r="K15"/>
  <c r="K26"/>
  <c r="K22"/>
  <c r="K23"/>
  <c r="K33"/>
  <c r="K32"/>
  <c r="K20"/>
  <c r="K17"/>
  <c r="K34"/>
  <c r="K18"/>
  <c r="K21"/>
  <c r="K31"/>
  <c r="K19"/>
  <c r="O21"/>
  <c r="O9"/>
  <c r="O22"/>
  <c r="O34"/>
  <c r="O19"/>
  <c r="O26"/>
  <c r="O30"/>
  <c r="O12"/>
  <c r="O33"/>
  <c r="O11"/>
  <c r="O20"/>
  <c r="O28"/>
  <c r="O18"/>
  <c r="O31"/>
  <c r="O32"/>
  <c r="O8"/>
  <c r="O15"/>
  <c r="O23"/>
  <c r="O17"/>
  <c r="M12"/>
  <c r="M30"/>
  <c r="M15"/>
  <c r="M32"/>
  <c r="M11"/>
  <c r="M20"/>
  <c r="M17"/>
  <c r="M9"/>
  <c r="M22"/>
  <c r="M28"/>
  <c r="M33"/>
  <c r="M19"/>
  <c r="M31"/>
  <c r="M34"/>
  <c r="M26"/>
  <c r="M23"/>
  <c r="M8"/>
  <c r="M18"/>
  <c r="M21"/>
  <c r="C15" i="3"/>
  <c r="C27" s="1"/>
  <c r="D15"/>
  <c r="F15" s="1"/>
  <c r="F11" i="12"/>
  <c r="F7"/>
  <c r="B8" i="11"/>
  <c r="E15" i="3"/>
  <c r="G15" s="1"/>
  <c r="D12"/>
  <c r="E12"/>
  <c r="D14"/>
  <c r="F14" s="1"/>
  <c r="E8" i="4"/>
  <c r="E11" s="1"/>
  <c r="B15" i="11"/>
  <c r="H22"/>
  <c r="D13" i="3"/>
  <c r="F13" s="1"/>
  <c r="F25" i="11"/>
  <c r="B9"/>
  <c r="H16"/>
  <c r="D26"/>
  <c r="F12"/>
  <c r="F10"/>
  <c r="F26"/>
  <c r="B17"/>
  <c r="F16"/>
  <c r="B16"/>
  <c r="B8" i="4"/>
  <c r="B19" i="11"/>
  <c r="D23"/>
  <c r="C12" i="3"/>
  <c r="F24" i="11"/>
  <c r="B24"/>
  <c r="D8" i="4"/>
  <c r="F17" i="11"/>
  <c r="H25"/>
  <c r="H8" i="16"/>
  <c r="F19" i="11"/>
  <c r="B10" i="16"/>
  <c r="B23" i="11"/>
  <c r="E10" i="16"/>
  <c r="E9"/>
  <c r="H26" i="11"/>
  <c r="D25" i="15"/>
  <c r="H25"/>
  <c r="F25"/>
  <c r="H15" i="21"/>
  <c r="E15"/>
  <c r="G15"/>
  <c r="C15"/>
  <c r="F15"/>
  <c r="D15"/>
  <c r="B8" i="18"/>
  <c r="B13" s="1"/>
  <c r="D13"/>
  <c r="H34" i="21"/>
  <c r="C34"/>
  <c r="D10" i="15"/>
  <c r="H10"/>
  <c r="F10"/>
  <c r="E34" i="21"/>
  <c r="G34"/>
  <c r="F34"/>
  <c r="D34"/>
  <c r="C13"/>
  <c r="F13"/>
  <c r="G13"/>
  <c r="C16" i="12"/>
  <c r="C12"/>
  <c r="C10"/>
  <c r="C17"/>
  <c r="C7"/>
  <c r="C9"/>
  <c r="C15"/>
  <c r="C8"/>
  <c r="C14"/>
  <c r="C13"/>
  <c r="C11"/>
  <c r="D28"/>
  <c r="D13" i="21"/>
  <c r="F26" i="15"/>
  <c r="B7" i="4"/>
  <c r="B11" s="1"/>
  <c r="E13" i="3"/>
  <c r="G13" s="1"/>
  <c r="H7" i="16"/>
  <c r="F22" i="11"/>
  <c r="D22"/>
  <c r="E7" i="16"/>
  <c r="H15" i="11"/>
  <c r="B22"/>
  <c r="E14" i="3"/>
  <c r="G14" s="1"/>
  <c r="F15" i="11"/>
  <c r="B7" i="16"/>
  <c r="B26" i="11"/>
  <c r="B8" i="16"/>
  <c r="F18" i="11"/>
  <c r="B9" i="16"/>
  <c r="B25" i="11"/>
  <c r="H19"/>
  <c r="D12"/>
  <c r="H24"/>
  <c r="B10"/>
  <c r="B11"/>
  <c r="F11"/>
  <c r="H9" i="16"/>
  <c r="F23" i="11"/>
  <c r="E8" i="16"/>
  <c r="H10"/>
  <c r="B12" i="11"/>
  <c r="B18"/>
  <c r="D25"/>
  <c r="H23"/>
  <c r="H18"/>
  <c r="D24"/>
  <c r="D11"/>
  <c r="H17"/>
  <c r="D11" i="12" l="1"/>
  <c r="F39"/>
  <c r="H39"/>
  <c r="D39"/>
  <c r="H7"/>
  <c r="H18" s="1"/>
  <c r="F40"/>
  <c r="H40"/>
  <c r="D40"/>
  <c r="C14" i="21"/>
  <c r="G14"/>
  <c r="E14"/>
  <c r="H14"/>
  <c r="D14"/>
  <c r="F14"/>
  <c r="C33" i="18"/>
  <c r="C28"/>
  <c r="C15"/>
  <c r="C23"/>
  <c r="C18"/>
  <c r="C11"/>
  <c r="C22"/>
  <c r="C32"/>
  <c r="C19"/>
  <c r="C34"/>
  <c r="C17"/>
  <c r="C20"/>
  <c r="C9"/>
  <c r="C21"/>
  <c r="C26"/>
  <c r="C30"/>
  <c r="C8"/>
  <c r="C31"/>
  <c r="C12"/>
  <c r="F28" i="15"/>
  <c r="G35" i="21"/>
  <c r="D35"/>
  <c r="H28" i="15"/>
  <c r="D28"/>
  <c r="C35" i="21"/>
  <c r="H36" i="12"/>
  <c r="H44" s="1"/>
  <c r="F35" i="21"/>
  <c r="E35"/>
  <c r="H35"/>
  <c r="E30"/>
  <c r="F22" i="15"/>
  <c r="H22"/>
  <c r="D30" i="21"/>
  <c r="C30"/>
  <c r="D22" i="15"/>
  <c r="F30" i="21"/>
  <c r="H30"/>
  <c r="G30"/>
  <c r="G27" i="3"/>
  <c r="F27"/>
  <c r="F20" i="11"/>
  <c r="B27"/>
  <c r="E11" i="16"/>
  <c r="F27" i="11"/>
  <c r="T7" i="9"/>
  <c r="T13" s="1"/>
  <c r="H7"/>
  <c r="H13" s="1"/>
  <c r="H13" i="21"/>
  <c r="E13"/>
  <c r="F28" i="12"/>
  <c r="H27" i="11"/>
  <c r="G12" i="3"/>
  <c r="C19" i="21"/>
  <c r="E19"/>
  <c r="F8" i="15"/>
  <c r="G11" i="21"/>
  <c r="E11"/>
  <c r="F11"/>
  <c r="G20"/>
  <c r="H20"/>
  <c r="D36" i="12"/>
  <c r="D44" s="1"/>
  <c r="E20" i="21"/>
  <c r="F20"/>
  <c r="C20"/>
  <c r="D20"/>
  <c r="E31" i="18"/>
  <c r="E12"/>
  <c r="E26"/>
  <c r="E9"/>
  <c r="E18"/>
  <c r="E30"/>
  <c r="E34"/>
  <c r="E32"/>
  <c r="E22"/>
  <c r="E20"/>
  <c r="E19"/>
  <c r="E33"/>
  <c r="E23"/>
  <c r="E17"/>
  <c r="E21"/>
  <c r="E11"/>
  <c r="E8"/>
  <c r="E15"/>
  <c r="E28"/>
  <c r="C21" i="21"/>
  <c r="H27" i="15"/>
  <c r="D21" i="21"/>
  <c r="F21"/>
  <c r="H21"/>
  <c r="D27" i="15"/>
  <c r="E21" i="21"/>
  <c r="F27" i="15"/>
  <c r="G21" i="21"/>
  <c r="B11" i="16"/>
  <c r="H20" i="11"/>
  <c r="D27"/>
  <c r="H11" i="16"/>
  <c r="N7" i="9"/>
  <c r="N13" s="1"/>
  <c r="H26" i="15"/>
  <c r="D26"/>
  <c r="H28" i="12"/>
  <c r="B20" i="11"/>
  <c r="F12" i="3"/>
  <c r="B13" i="11"/>
  <c r="E18" i="4"/>
  <c r="D18"/>
  <c r="E21"/>
  <c r="D14"/>
  <c r="D19" i="21"/>
  <c r="H19"/>
  <c r="F19"/>
  <c r="G19"/>
  <c r="D8" i="15"/>
  <c r="D31" s="1"/>
  <c r="H8"/>
  <c r="H11" i="21"/>
  <c r="H36" s="1"/>
  <c r="D11"/>
  <c r="C11"/>
  <c r="C36" s="1"/>
  <c r="I17" i="12" l="1"/>
  <c r="I8"/>
  <c r="I9"/>
  <c r="I7"/>
  <c r="I16"/>
  <c r="D36" i="21"/>
  <c r="H31" i="15"/>
  <c r="E28"/>
  <c r="E25"/>
  <c r="E14"/>
  <c r="E29"/>
  <c r="E26"/>
  <c r="E23"/>
  <c r="E13"/>
  <c r="E15"/>
  <c r="E27"/>
  <c r="E21"/>
  <c r="E22"/>
  <c r="E11"/>
  <c r="E8"/>
  <c r="E10"/>
  <c r="E30"/>
  <c r="E16"/>
  <c r="E9"/>
  <c r="E17"/>
  <c r="E24"/>
  <c r="E19"/>
  <c r="E20"/>
  <c r="J9" i="16"/>
  <c r="J8"/>
  <c r="J7"/>
  <c r="J10"/>
  <c r="H28" i="11"/>
  <c r="I16"/>
  <c r="I19"/>
  <c r="I17"/>
  <c r="I18"/>
  <c r="I15"/>
  <c r="D20" i="4"/>
  <c r="D21"/>
  <c r="C18"/>
  <c r="C14"/>
  <c r="D7"/>
  <c r="D11" s="1"/>
  <c r="H27" i="12"/>
  <c r="H31" s="1"/>
  <c r="F27"/>
  <c r="F31" s="1"/>
  <c r="D8" i="11"/>
  <c r="F33" i="12"/>
  <c r="H33"/>
  <c r="D33"/>
  <c r="W9" i="9"/>
  <c r="W11"/>
  <c r="W12"/>
  <c r="W8"/>
  <c r="W10"/>
  <c r="W7"/>
  <c r="F8" i="16"/>
  <c r="F10"/>
  <c r="F7"/>
  <c r="F9"/>
  <c r="G18" i="11"/>
  <c r="G19"/>
  <c r="G16"/>
  <c r="G17"/>
  <c r="G15"/>
  <c r="D9"/>
  <c r="F9"/>
  <c r="F36" i="21"/>
  <c r="G36"/>
  <c r="C20" i="4"/>
  <c r="E19"/>
  <c r="C21"/>
  <c r="C19"/>
  <c r="D27" i="12"/>
  <c r="D31" s="1"/>
  <c r="C7" i="4"/>
  <c r="C11" s="1"/>
  <c r="F10" i="12"/>
  <c r="F18" s="1"/>
  <c r="I15" i="15"/>
  <c r="I11"/>
  <c r="I19"/>
  <c r="I24"/>
  <c r="I27"/>
  <c r="I9"/>
  <c r="I8"/>
  <c r="I16"/>
  <c r="I10"/>
  <c r="I21"/>
  <c r="I30"/>
  <c r="I14"/>
  <c r="I17"/>
  <c r="I28"/>
  <c r="I13"/>
  <c r="I23"/>
  <c r="I29"/>
  <c r="I26"/>
  <c r="I22"/>
  <c r="I20"/>
  <c r="I25"/>
  <c r="C12" i="11"/>
  <c r="B28"/>
  <c r="C10"/>
  <c r="C11"/>
  <c r="C9"/>
  <c r="C8"/>
  <c r="C18"/>
  <c r="C15"/>
  <c r="C17"/>
  <c r="C19"/>
  <c r="C16"/>
  <c r="Q12" i="9"/>
  <c r="Q9"/>
  <c r="Q7"/>
  <c r="Q8"/>
  <c r="Q11"/>
  <c r="Q10"/>
  <c r="E24" i="11"/>
  <c r="E23"/>
  <c r="E26"/>
  <c r="E22"/>
  <c r="E25"/>
  <c r="C10" i="16"/>
  <c r="C7"/>
  <c r="C9"/>
  <c r="C8"/>
  <c r="I22" i="11"/>
  <c r="I23"/>
  <c r="I24"/>
  <c r="I26"/>
  <c r="I25"/>
  <c r="K12" i="9"/>
  <c r="K11"/>
  <c r="K9"/>
  <c r="K7"/>
  <c r="K8"/>
  <c r="K10"/>
  <c r="G22" i="11"/>
  <c r="G23"/>
  <c r="G26"/>
  <c r="G25"/>
  <c r="G24"/>
  <c r="C26"/>
  <c r="C24"/>
  <c r="C25"/>
  <c r="C22"/>
  <c r="C23"/>
  <c r="E36" i="21"/>
  <c r="F31" i="15"/>
  <c r="E20" i="4"/>
  <c r="E14"/>
  <c r="D19"/>
  <c r="F36" i="12"/>
  <c r="F44" s="1"/>
  <c r="F8" i="11"/>
  <c r="F13" s="1"/>
  <c r="D10" i="12"/>
  <c r="D18" s="1"/>
  <c r="E16" l="1"/>
  <c r="E11"/>
  <c r="E10"/>
  <c r="E15"/>
  <c r="E13"/>
  <c r="E12"/>
  <c r="E14"/>
  <c r="E17"/>
  <c r="G10" i="11"/>
  <c r="G9"/>
  <c r="G11"/>
  <c r="G12"/>
  <c r="F28"/>
  <c r="G8"/>
  <c r="H46" i="12"/>
  <c r="H45"/>
  <c r="I29"/>
  <c r="I27"/>
  <c r="I28"/>
  <c r="I30"/>
  <c r="D13" i="11"/>
  <c r="G24" i="15"/>
  <c r="G15"/>
  <c r="G21"/>
  <c r="G20"/>
  <c r="G27"/>
  <c r="G8"/>
  <c r="G10"/>
  <c r="G13"/>
  <c r="G28"/>
  <c r="G19"/>
  <c r="G26"/>
  <c r="G22"/>
  <c r="G14"/>
  <c r="G16"/>
  <c r="G25"/>
  <c r="G29"/>
  <c r="G23"/>
  <c r="G11"/>
  <c r="G9"/>
  <c r="G17"/>
  <c r="G30"/>
  <c r="G12" i="12"/>
  <c r="G15"/>
  <c r="G13"/>
  <c r="G9"/>
  <c r="G17"/>
  <c r="G10"/>
  <c r="G8"/>
  <c r="G7"/>
  <c r="G11"/>
  <c r="G16"/>
  <c r="G14"/>
  <c r="E28"/>
  <c r="E30"/>
  <c r="E29"/>
  <c r="E27"/>
  <c r="D45"/>
  <c r="D46"/>
  <c r="F46"/>
  <c r="F45"/>
  <c r="G29"/>
  <c r="G27"/>
  <c r="G28"/>
  <c r="G30"/>
  <c r="E36" l="1"/>
  <c r="E38"/>
  <c r="E33"/>
  <c r="E39"/>
  <c r="E44"/>
  <c r="E45"/>
  <c r="E42"/>
  <c r="E40"/>
  <c r="E35"/>
  <c r="E34"/>
  <c r="E37"/>
  <c r="E43"/>
  <c r="E41"/>
  <c r="E10" i="11"/>
  <c r="E11"/>
  <c r="E8"/>
  <c r="D28"/>
  <c r="E9"/>
  <c r="E12"/>
  <c r="I39" i="12"/>
  <c r="I41"/>
  <c r="I35"/>
  <c r="I40"/>
  <c r="I43"/>
  <c r="I37"/>
  <c r="I44"/>
  <c r="I36"/>
  <c r="I33"/>
  <c r="I42"/>
  <c r="I34"/>
  <c r="I38"/>
  <c r="I45"/>
  <c r="G42"/>
  <c r="G43"/>
  <c r="G45"/>
  <c r="G44"/>
  <c r="G37"/>
  <c r="G39"/>
  <c r="G40"/>
  <c r="G36"/>
  <c r="G33"/>
  <c r="G35"/>
  <c r="G38"/>
  <c r="G34"/>
  <c r="G41"/>
</calcChain>
</file>

<file path=xl/comments1.xml><?xml version="1.0" encoding="utf-8"?>
<comments xmlns="http://schemas.openxmlformats.org/spreadsheetml/2006/main">
  <authors>
    <author>Matt</author>
  </authors>
  <commentList>
    <comment ref="I6" authorId="0">
      <text>
        <r>
          <rPr>
            <b/>
            <sz val="9"/>
            <color indexed="81"/>
            <rFont val="Tahoma"/>
            <family val="2"/>
          </rPr>
          <t>Matt:</t>
        </r>
        <r>
          <rPr>
            <sz val="9"/>
            <color indexed="81"/>
            <rFont val="Tahoma"/>
            <family val="2"/>
          </rPr>
          <t xml:space="preserve">
Total number of cells in Excel.</t>
        </r>
      </text>
    </comment>
  </commentList>
</comments>
</file>

<file path=xl/comments10.xml><?xml version="1.0" encoding="utf-8"?>
<comments xmlns="http://schemas.openxmlformats.org/spreadsheetml/2006/main">
  <authors>
    <author>djamasbi</author>
  </authors>
  <commentList>
    <comment ref="C7" authorId="0">
      <text>
        <r>
          <rPr>
            <b/>
            <sz val="9"/>
            <color indexed="81"/>
            <rFont val="Tahoma"/>
            <family val="2"/>
          </rPr>
          <t>TN: Didn't say last enrollment for LOS but did say last enrollment for destination so doing last enrollment for LOS as well.</t>
        </r>
      </text>
    </comment>
    <comment ref="B9" authorId="0">
      <text>
        <r>
          <rPr>
            <b/>
            <sz val="9"/>
            <color indexed="81"/>
            <rFont val="Tahoma"/>
            <family val="2"/>
          </rPr>
          <t>TN: Using last episode per instructions.</t>
        </r>
      </text>
    </comment>
  </commentList>
</comments>
</file>

<file path=xl/comments2.xml><?xml version="1.0" encoding="utf-8"?>
<comments xmlns="http://schemas.openxmlformats.org/spreadsheetml/2006/main">
  <authors>
    <author>djamasbi</author>
  </authors>
  <commentList>
    <comment ref="D4" authorId="0">
      <text>
        <r>
          <rPr>
            <b/>
            <sz val="9"/>
            <color indexed="81"/>
            <rFont val="Tahoma"/>
            <family val="2"/>
          </rPr>
          <t>TN: Note that Household of Unknown type is not counted anywhere.</t>
        </r>
      </text>
    </comment>
    <comment ref="B8" authorId="0">
      <text>
        <r>
          <rPr>
            <b/>
            <sz val="9"/>
            <color rgb="FF000000"/>
            <rFont val="Tahoma"/>
            <family val="2"/>
          </rPr>
          <t>TN: Should I use col N for gender or col BG?</t>
        </r>
      </text>
    </comment>
    <comment ref="B13" authorId="0">
      <text>
        <r>
          <rPr>
            <b/>
            <sz val="9"/>
            <color rgb="FF000000"/>
            <rFont val="Tahoma"/>
            <family val="2"/>
          </rPr>
          <t>TN: What to do about "Other" (4)?</t>
        </r>
        <r>
          <rPr>
            <sz val="9"/>
            <color rgb="FF000000"/>
            <rFont val="Tahoma"/>
            <family val="2"/>
          </rPr>
          <t xml:space="preserve">
</t>
        </r>
      </text>
    </comment>
    <comment ref="B20" authorId="0">
      <text>
        <r>
          <rPr>
            <b/>
            <sz val="9"/>
            <color rgb="FF000000"/>
            <rFont val="Tahoma"/>
            <family val="2"/>
          </rPr>
          <t>TN: What to do about "Other" (4)?</t>
        </r>
        <r>
          <rPr>
            <sz val="9"/>
            <color rgb="FF000000"/>
            <rFont val="Tahoma"/>
            <family val="2"/>
          </rPr>
          <t xml:space="preserve">
</t>
        </r>
      </text>
    </comment>
    <comment ref="B26" authorId="0">
      <text>
        <r>
          <rPr>
            <b/>
            <sz val="9"/>
            <color rgb="FF000000"/>
            <rFont val="Tahoma"/>
            <family val="2"/>
          </rPr>
          <t>TN: Need to handle Other (4) as in above</t>
        </r>
      </text>
    </comment>
  </commentList>
</comments>
</file>

<file path=xl/comments3.xml><?xml version="1.0" encoding="utf-8"?>
<comments xmlns="http://schemas.openxmlformats.org/spreadsheetml/2006/main">
  <authors>
    <author>djamasbi</author>
    <author>Matt</author>
  </authors>
  <commentList>
    <comment ref="D4" authorId="0">
      <text>
        <r>
          <rPr>
            <b/>
            <sz val="9"/>
            <color indexed="81"/>
            <rFont val="Tahoma"/>
            <family val="2"/>
          </rPr>
          <t>TN: Household of type Unknown is not counted here.</t>
        </r>
      </text>
    </comment>
    <comment ref="B7" authorId="0">
      <text>
        <r>
          <rPr>
            <b/>
            <sz val="9"/>
            <color indexed="81"/>
            <rFont val="Tahoma"/>
            <family val="2"/>
          </rPr>
          <t>TN: How to handle don't know/refused and missing this info (used 0 for missing for now).</t>
        </r>
      </text>
    </comment>
    <comment ref="B16" authorId="0">
      <text>
        <r>
          <rPr>
            <b/>
            <sz val="9"/>
            <color indexed="81"/>
            <rFont val="Tahoma"/>
            <family val="2"/>
          </rPr>
          <t>TN: Check for blank DOB as well?</t>
        </r>
      </text>
    </comment>
    <comment ref="B17" authorId="0">
      <text>
        <r>
          <rPr>
            <b/>
            <sz val="9"/>
            <color indexed="81"/>
            <rFont val="Tahoma"/>
            <family val="2"/>
          </rPr>
          <t>TN: Assumed 0 age denotes missing info.</t>
        </r>
      </text>
    </comment>
    <comment ref="B18" authorId="0">
      <text>
        <r>
          <rPr>
            <b/>
            <sz val="9"/>
            <color indexed="81"/>
            <rFont val="Tahoma"/>
            <family val="2"/>
          </rPr>
          <t>TN: Check why not adding up to 108.</t>
        </r>
      </text>
    </comment>
    <comment ref="B30" authorId="0">
      <text>
        <r>
          <rPr>
            <b/>
            <sz val="9"/>
            <color indexed="81"/>
            <rFont val="Tahoma"/>
            <family val="2"/>
          </rPr>
          <t>TN: Interpreted "" as missing info.</t>
        </r>
      </text>
    </comment>
    <comment ref="B33" authorId="0">
      <text>
        <r>
          <rPr>
            <b/>
            <sz val="9"/>
            <color indexed="81"/>
            <rFont val="Tahoma"/>
            <family val="2"/>
          </rPr>
          <t>TN: Assumed "" secondary race means no secondary race.</t>
        </r>
      </text>
    </comment>
    <comment ref="B36" authorId="0">
      <text>
        <r>
          <rPr>
            <b/>
            <sz val="9"/>
            <color indexed="81"/>
            <rFont val="Tahoma"/>
            <family val="2"/>
          </rPr>
          <t>TN: Should these be cross-tabbed with ethnicity?</t>
        </r>
      </text>
    </comment>
    <comment ref="B41" authorId="0">
      <text>
        <r>
          <rPr>
            <b/>
            <sz val="9"/>
            <color indexed="81"/>
            <rFont val="Tahoma"/>
            <family val="2"/>
          </rPr>
          <t>TN: What about SecondaryRace don't know/refused?</t>
        </r>
      </text>
    </comment>
    <comment ref="B42" authorId="0">
      <text>
        <r>
          <rPr>
            <b/>
            <sz val="9"/>
            <color indexed="81"/>
            <rFont val="Tahoma"/>
            <family val="2"/>
          </rPr>
          <t>TN: Testing for SecondaryRace =="". Do I need to do this?</t>
        </r>
      </text>
    </comment>
    <comment ref="B43" authorId="0">
      <text>
        <r>
          <rPr>
            <b/>
            <sz val="9"/>
            <color indexed="81"/>
            <rFont val="Tahoma"/>
            <family val="2"/>
          </rPr>
          <t>TN: Need to test for missing ethnicity  as well. 
Testing for SecondaryRace =="". Do I need to do this?</t>
        </r>
      </text>
    </comment>
    <comment ref="B44" authorId="1">
      <text>
        <r>
          <rPr>
            <b/>
            <sz val="9"/>
            <color indexed="81"/>
            <rFont val="Tahoma"/>
            <family val="2"/>
          </rPr>
          <t>Matt:</t>
        </r>
        <r>
          <rPr>
            <sz val="9"/>
            <color indexed="81"/>
            <rFont val="Tahoma"/>
            <family val="2"/>
          </rPr>
          <t xml:space="preserve">
No race but hispanic is not a minority?</t>
        </r>
      </text>
    </comment>
    <comment ref="B46" authorId="0">
      <text>
        <r>
          <rPr>
            <b/>
            <sz val="9"/>
            <color indexed="81"/>
            <rFont val="Tahoma"/>
            <family val="2"/>
          </rPr>
          <t>TN: Does not add up to 108. Find out why?</t>
        </r>
      </text>
    </comment>
  </commentList>
</comments>
</file>

<file path=xl/comments4.xml><?xml version="1.0" encoding="utf-8"?>
<comments xmlns="http://schemas.openxmlformats.org/spreadsheetml/2006/main">
  <authors>
    <author>djamasbi</author>
  </authors>
  <commentList>
    <comment ref="B8" authorId="0">
      <text>
        <r>
          <rPr>
            <b/>
            <sz val="9"/>
            <color indexed="81"/>
            <rFont val="Tahoma"/>
            <family val="2"/>
          </rPr>
          <t>TN: Didn't do a LOS check. Double check.</t>
        </r>
      </text>
    </comment>
    <comment ref="B15" authorId="0">
      <text>
        <r>
          <rPr>
            <b/>
            <sz val="9"/>
            <color indexed="81"/>
            <rFont val="Tahoma"/>
            <family val="2"/>
          </rPr>
          <t>TN: What if a client does not have a ClientHistorical record. This total will be off.</t>
        </r>
      </text>
    </comment>
    <comment ref="B18" authorId="0">
      <text>
        <r>
          <rPr>
            <b/>
            <sz val="9"/>
            <color indexed="81"/>
            <rFont val="Tahoma"/>
            <family val="2"/>
          </rPr>
          <t>TN: Counted if had both drug and alcohol (3) in this and  drug abuse below.</t>
        </r>
      </text>
    </comment>
  </commentList>
</comments>
</file>

<file path=xl/comments5.xml><?xml version="1.0" encoding="utf-8"?>
<comments xmlns="http://schemas.openxmlformats.org/spreadsheetml/2006/main">
  <authors>
    <author>djamasbi</author>
  </authors>
  <commentList>
    <comment ref="B8" authorId="0">
      <text>
        <r>
          <rPr>
            <b/>
            <sz val="9"/>
            <color indexed="81"/>
            <rFont val="Tahoma"/>
            <family val="2"/>
          </rPr>
          <t>TN: Also need to do a LOS check?</t>
        </r>
      </text>
    </comment>
    <comment ref="D8" authorId="0">
      <text>
        <r>
          <rPr>
            <b/>
            <sz val="9"/>
            <color indexed="81"/>
            <rFont val="Tahoma"/>
            <family val="2"/>
          </rPr>
          <t>TN: Assumed if in HHNoKids then they are adult.</t>
        </r>
      </text>
    </comment>
    <comment ref="H8" authorId="0">
      <text>
        <r>
          <rPr>
            <b/>
            <sz val="9"/>
            <color indexed="81"/>
            <rFont val="Tahoma"/>
            <family val="2"/>
          </rPr>
          <t>TN: Used HHKidsOnly and Adult or UY? To count these.</t>
        </r>
      </text>
    </comment>
    <comment ref="B11" authorId="0">
      <text>
        <r>
          <rPr>
            <b/>
            <sz val="9"/>
            <color indexed="81"/>
            <rFont val="Tahoma"/>
            <family val="2"/>
          </rPr>
          <t>TN: Interpreted "" as missing info.</t>
        </r>
      </text>
    </comment>
    <comment ref="B14" authorId="0">
      <text>
        <r>
          <rPr>
            <b/>
            <sz val="9"/>
            <color indexed="81"/>
            <rFont val="Tahoma"/>
            <family val="2"/>
          </rPr>
          <t>TN: Used Adult and HHKidsOnly. Need to double check this logic.</t>
        </r>
      </text>
    </comment>
    <comment ref="D14" authorId="0">
      <text>
        <r>
          <rPr>
            <b/>
            <sz val="9"/>
            <color indexed="81"/>
            <rFont val="Tahoma"/>
            <family val="2"/>
          </rPr>
          <t>TN: Assumed if in HHNoKids then they are adult.</t>
        </r>
      </text>
    </comment>
    <comment ref="H14" authorId="0">
      <text>
        <r>
          <rPr>
            <b/>
            <sz val="9"/>
            <color indexed="81"/>
            <rFont val="Tahoma"/>
            <family val="2"/>
          </rPr>
          <t>TN: Assumed if in HHKidsOnly then they are unaccompanied youth.</t>
        </r>
      </text>
    </comment>
  </commentList>
</comments>
</file>

<file path=xl/comments6.xml><?xml version="1.0" encoding="utf-8"?>
<comments xmlns="http://schemas.openxmlformats.org/spreadsheetml/2006/main">
  <authors>
    <author>djamasbi</author>
  </authors>
  <commentList>
    <comment ref="D6" authorId="0">
      <text>
        <r>
          <rPr>
            <b/>
            <sz val="9"/>
            <color indexed="81"/>
            <rFont val="Tahoma"/>
            <family val="2"/>
          </rPr>
          <t>TN: Not counting Household of Unknown type.</t>
        </r>
      </text>
    </comment>
    <comment ref="B8" authorId="0">
      <text>
        <r>
          <rPr>
            <b/>
            <sz val="9"/>
            <color indexed="81"/>
            <rFont val="Tahoma"/>
            <family val="2"/>
          </rPr>
          <t xml:space="preserve">TN: Not Checking for LOS &gt; 0. Assuming if in ProgramParticipation than has a LOS. </t>
        </r>
      </text>
    </comment>
    <comment ref="B9" authorId="0">
      <text>
        <r>
          <rPr>
            <b/>
            <sz val="9"/>
            <color indexed="81"/>
            <rFont val="Tahoma"/>
            <family val="2"/>
          </rPr>
          <t>TN: Note that values 10 and 11 are not in the domain but the data has values 10 and 11.</t>
        </r>
      </text>
    </comment>
    <comment ref="B31" authorId="0">
      <text>
        <r>
          <rPr>
            <b/>
            <sz val="9"/>
            <color indexed="81"/>
            <rFont val="Tahoma"/>
            <family val="2"/>
          </rPr>
          <t xml:space="preserve">TN: 
To resolve below, we deleted all rows in ProgramParticipation that did not include the target program.
This # is &gt; total # of persons. Using Last Episode allows inclusion of some duplicates. See client id 8022 and 3811424. In both instances they show up in 2 different ProgramIDs. I don’t think Last Episode is designed to handle visits across programs. Matt please check. </t>
        </r>
      </text>
    </comment>
  </commentList>
</comments>
</file>

<file path=xl/comments7.xml><?xml version="1.0" encoding="utf-8"?>
<comments xmlns="http://schemas.openxmlformats.org/spreadsheetml/2006/main">
  <authors>
    <author>djamasbi</author>
  </authors>
  <commentList>
    <comment ref="B31" authorId="0">
      <text>
        <r>
          <rPr>
            <b/>
            <sz val="9"/>
            <color indexed="81"/>
            <rFont val="Tahoma"/>
            <family val="2"/>
          </rPr>
          <t>TN: Counted if had both drug and alcohol (3) in this and  drug abuse below.</t>
        </r>
      </text>
    </comment>
  </commentList>
</comments>
</file>

<file path=xl/comments8.xml><?xml version="1.0" encoding="utf-8"?>
<comments xmlns="http://schemas.openxmlformats.org/spreadsheetml/2006/main">
  <authors>
    <author>djamasbi</author>
    <author>Eddie Barber</author>
  </authors>
  <commentList>
    <comment ref="B6" authorId="0">
      <text>
        <r>
          <rPr>
            <b/>
            <sz val="9"/>
            <color indexed="81"/>
            <rFont val="Tahoma"/>
            <family val="2"/>
          </rPr>
          <t>TN: 0 income has special meaning in the instructions.
Assume income is an integer.</t>
        </r>
      </text>
    </comment>
    <comment ref="F6" authorId="0">
      <text>
        <r>
          <rPr>
            <b/>
            <sz val="9"/>
            <color indexed="81"/>
            <rFont val="Tahoma"/>
            <family val="2"/>
          </rPr>
          <t>TN: I interpreted this as the # of adults with no income at entry that had more income at exit.</t>
        </r>
      </text>
    </comment>
    <comment ref="G6" authorId="0">
      <text>
        <r>
          <rPr>
            <b/>
            <sz val="9"/>
            <color indexed="81"/>
            <rFont val="Tahoma"/>
            <family val="2"/>
          </rPr>
          <t>TN: I interpreted this as the $ amt avg change of people with no income at entry. Is this correct?</t>
        </r>
      </text>
    </comment>
    <comment ref="C18" authorId="1">
      <text>
        <r>
          <rPr>
            <b/>
            <sz val="9"/>
            <color indexed="81"/>
            <rFont val="Tahoma"/>
            <family val="2"/>
          </rPr>
          <t>Eddie Barber:</t>
        </r>
        <r>
          <rPr>
            <sz val="9"/>
            <color indexed="81"/>
            <rFont val="Tahoma"/>
            <family val="2"/>
          </rPr>
          <t xml:space="preserve">
Why does this check "Most Recent Income" column, and not income at entry column?</t>
        </r>
      </text>
    </comment>
    <comment ref="B26" authorId="0">
      <text>
        <r>
          <rPr>
            <b/>
            <sz val="9"/>
            <color indexed="81"/>
            <rFont val="Tahoma"/>
            <family val="2"/>
          </rPr>
          <t>TN: 0 income has special meaning in the instructions.
Assume income is an integer.</t>
        </r>
      </text>
    </comment>
    <comment ref="F26" authorId="0">
      <text>
        <r>
          <rPr>
            <b/>
            <sz val="9"/>
            <color indexed="81"/>
            <rFont val="Tahoma"/>
            <family val="2"/>
          </rPr>
          <t>TN: I interpreted this as the # of adults with no income at entry that had more income at exit.</t>
        </r>
      </text>
    </comment>
    <comment ref="C38" authorId="1">
      <text>
        <r>
          <rPr>
            <b/>
            <sz val="9"/>
            <color indexed="81"/>
            <rFont val="Tahoma"/>
            <family val="2"/>
          </rPr>
          <t>Eddie Barber:</t>
        </r>
        <r>
          <rPr>
            <sz val="9"/>
            <color indexed="81"/>
            <rFont val="Tahoma"/>
            <family val="2"/>
          </rPr>
          <t xml:space="preserve">
Why does this check "Most Recent Income" column, and not income at entry column?</t>
        </r>
      </text>
    </comment>
  </commentList>
</comments>
</file>

<file path=xl/comments9.xml><?xml version="1.0" encoding="utf-8"?>
<comments xmlns="http://schemas.openxmlformats.org/spreadsheetml/2006/main">
  <authors>
    <author>djamasbi</author>
  </authors>
  <commentList>
    <comment ref="D8" authorId="0">
      <text>
        <r>
          <rPr>
            <b/>
            <sz val="9"/>
            <color indexed="81"/>
            <rFont val="Tahoma"/>
            <family val="2"/>
          </rPr>
          <t>TN: Made it &lt;= 30 instead of &lt; 30 so no gap.</t>
        </r>
      </text>
    </comment>
    <comment ref="D21" authorId="0">
      <text>
        <r>
          <rPr>
            <b/>
            <sz val="9"/>
            <color indexed="81"/>
            <rFont val="Tahoma"/>
            <family val="2"/>
          </rPr>
          <t>TN: Need something like MEDIANIFS().</t>
        </r>
      </text>
    </comment>
    <comment ref="B30" authorId="0">
      <text>
        <r>
          <rPr>
            <b/>
            <sz val="9"/>
            <color indexed="81"/>
            <rFont val="Tahoma"/>
            <family val="2"/>
          </rPr>
          <t>TN: Need to make sure only do for HPRP programs.</t>
        </r>
      </text>
    </comment>
  </commentList>
</comments>
</file>

<file path=xl/sharedStrings.xml><?xml version="1.0" encoding="utf-8"?>
<sst xmlns="http://schemas.openxmlformats.org/spreadsheetml/2006/main" count="1948" uniqueCount="1207">
  <si>
    <t>Q1. Contact Information</t>
  </si>
  <si>
    <t>(1a) Project/Grantee Name:</t>
  </si>
  <si>
    <t>(1b) Project Sponsor:</t>
  </si>
  <si>
    <t>(1c)Grantee:</t>
  </si>
  <si>
    <t>(1e) Grant Award Number</t>
  </si>
  <si>
    <t xml:space="preserve">(1f) Grantee Location </t>
  </si>
  <si>
    <t xml:space="preserve">(1g) Grantee Identifier </t>
  </si>
  <si>
    <t>(1h) PIN Number:</t>
  </si>
  <si>
    <t>(1i) Contact Name:</t>
  </si>
  <si>
    <t>(1j) Title:</t>
  </si>
  <si>
    <t>(1k) Address:</t>
  </si>
  <si>
    <t>(1l) Phone Number:</t>
  </si>
  <si>
    <t>(1m) Fax Number:</t>
  </si>
  <si>
    <t>(1n) Email Address:</t>
  </si>
  <si>
    <t>(1b) Recipient DUNS Number (HPRP Only)</t>
  </si>
  <si>
    <t>Program Applicability: All SHP, S+C, SRO, HPRP</t>
  </si>
  <si>
    <t>Q2. Authorizing Information</t>
  </si>
  <si>
    <t>(2a) Name of Authorized Grantee Official:</t>
  </si>
  <si>
    <t>(2b) Title/Position:</t>
  </si>
  <si>
    <t>(2c) Name of Authorized Sponsor Official:</t>
  </si>
  <si>
    <t>(Only All SHP, S+C, SRO)</t>
  </si>
  <si>
    <t>(2d) Title/Position:</t>
  </si>
  <si>
    <r>
      <t xml:space="preserve">Before submitting your APR, an authorized grantee official </t>
    </r>
    <r>
      <rPr>
        <i/>
        <sz val="11"/>
        <color theme="1"/>
        <rFont val="Times New Roman"/>
        <family val="1"/>
      </rPr>
      <t>and</t>
    </r>
    <r>
      <rPr>
        <sz val="11"/>
        <color theme="1"/>
        <rFont val="Times New Roman"/>
        <family val="1"/>
      </rPr>
      <t xml:space="preserve"> an authorized sponsor official (if different from the grantee) must certify that the statement below is true by typing his/her initials into the box. Your APR will not be reviewed if the statement is not initialed.</t>
    </r>
  </si>
  <si>
    <t>I hereby certify that all the information stated herein is true and accurate.</t>
  </si>
  <si>
    <t>Q3. Project Information</t>
  </si>
  <si>
    <t>(3a) Type of Grant</t>
  </si>
  <si>
    <t>(3b) Program Components or Types</t>
  </si>
  <si>
    <t>(3c) Special Initiatives</t>
  </si>
  <si>
    <t>(3d) Target Subpopulation</t>
  </si>
  <si>
    <t>(3e) CoC Number</t>
  </si>
  <si>
    <t>(3g) Operating Year Start Date</t>
  </si>
  <si>
    <t>(3h) Operating Year End Date</t>
  </si>
  <si>
    <t>(3i) Operating Year Covered by this APR</t>
  </si>
  <si>
    <t>(3j) Is this an extension APR?</t>
  </si>
  <si>
    <t>(3k) Is this a final APR?</t>
  </si>
  <si>
    <t>(3l) Is this a corrected APR?</t>
  </si>
  <si>
    <t xml:space="preserve">(3f) Amount of Contract or Award </t>
  </si>
  <si>
    <t>(3m) "Does this project have a 20-year use requirement?"</t>
  </si>
  <si>
    <t>3J : Subgrantee or Subcontract Award Information (HPRP Only)</t>
  </si>
  <si>
    <t>Q4. Site Information</t>
  </si>
  <si>
    <t>Program Applicability: All SHP, S+C, SRO, HPRP( for 4a only)</t>
  </si>
  <si>
    <t>(4a) Project Administrative Address (From Application)</t>
  </si>
  <si>
    <t>Street/PO Box:</t>
  </si>
  <si>
    <t>City:</t>
  </si>
  <si>
    <t>State:</t>
  </si>
  <si>
    <t>Zip:</t>
  </si>
  <si>
    <t>(4b) Program Site Configuration Type (From application)  (Excludes HPRP)</t>
  </si>
  <si>
    <t>(4c) Site Type  (Excludes HPRP)</t>
  </si>
  <si>
    <t>(4d) Housing Type (Excludes HPRP)</t>
  </si>
  <si>
    <t>Identify the housing type for the principal service site.</t>
  </si>
  <si>
    <t xml:space="preserve">(4e) Explanation of changes </t>
  </si>
  <si>
    <t>Q5. Current Bed and Unit Inventory</t>
  </si>
  <si>
    <t>Program Applicability: All SHP-TH/PH, S+C, SRO (residential homeless assistance projects only)</t>
  </si>
  <si>
    <t>Q5(a): Actual and Proposed Bed and Unit Inventory</t>
  </si>
  <si>
    <t>Households without children</t>
  </si>
  <si>
    <t>Households with children</t>
  </si>
  <si>
    <t>Total</t>
  </si>
  <si>
    <t>Total from Application</t>
  </si>
  <si>
    <r>
      <t xml:space="preserve">Total current number of year-round </t>
    </r>
    <r>
      <rPr>
        <b/>
        <i/>
        <sz val="10"/>
        <color theme="1"/>
        <rFont val="Times New Roman"/>
        <family val="1"/>
      </rPr>
      <t>beds/units</t>
    </r>
    <r>
      <rPr>
        <b/>
        <sz val="10"/>
        <color theme="1"/>
        <rFont val="Times New Roman"/>
        <family val="1"/>
      </rPr>
      <t xml:space="preserve"> </t>
    </r>
  </si>
  <si>
    <t>(Calculation)</t>
  </si>
  <si>
    <r>
      <t xml:space="preserve">Total number of year-round </t>
    </r>
    <r>
      <rPr>
        <b/>
        <i/>
        <sz val="10"/>
        <color theme="1"/>
        <rFont val="Times New Roman"/>
        <family val="1"/>
      </rPr>
      <t>beds/units</t>
    </r>
    <r>
      <rPr>
        <b/>
        <sz val="10"/>
        <color theme="1"/>
        <rFont val="Times New Roman"/>
        <family val="1"/>
      </rPr>
      <t xml:space="preserve"> from Application</t>
    </r>
  </si>
  <si>
    <t>(From Application)</t>
  </si>
  <si>
    <t>Beds</t>
  </si>
  <si>
    <r>
      <t xml:space="preserve">CH Beds </t>
    </r>
    <r>
      <rPr>
        <b/>
        <sz val="8"/>
        <color theme="1"/>
        <rFont val="Times New Roman"/>
        <family val="1"/>
      </rPr>
      <t>(PSH only)</t>
    </r>
  </si>
  <si>
    <t>Units</t>
  </si>
  <si>
    <t>Q5(b) Explanation of Changes</t>
  </si>
  <si>
    <t>Explain any difference in the actual  inventory from the information provided in the application,</t>
  </si>
  <si>
    <t>Q6. HMIS Bed Participation Rate</t>
  </si>
  <si>
    <t>Program Applicability: All SHP-TH/PH, S+C, SRO</t>
  </si>
  <si>
    <r>
      <t>Is this project</t>
    </r>
    <r>
      <rPr>
        <sz val="11"/>
        <color theme="1"/>
        <rFont val="Times New Roman"/>
        <family val="1"/>
      </rPr>
      <t xml:space="preserve"> </t>
    </r>
    <r>
      <rPr>
        <b/>
        <sz val="10"/>
        <color theme="1"/>
        <rFont val="Times New Roman"/>
        <family val="1"/>
      </rPr>
      <t xml:space="preserve">operated by a victim service provider as defined by the Violence Against Women and Department of Justice Reauthorization Act of 2005? </t>
    </r>
  </si>
  <si>
    <r>
      <t xml:space="preserve">If </t>
    </r>
    <r>
      <rPr>
        <b/>
        <u/>
        <sz val="10"/>
        <color theme="1"/>
        <rFont val="Times New Roman"/>
        <family val="1"/>
      </rPr>
      <t>no</t>
    </r>
    <r>
      <rPr>
        <b/>
        <sz val="10"/>
        <color theme="1"/>
        <rFont val="Times New Roman"/>
        <family val="1"/>
      </rPr>
      <t xml:space="preserve">, please complete the following: </t>
    </r>
    <r>
      <rPr>
        <sz val="10"/>
        <color theme="1"/>
        <rFont val="Times New Roman"/>
        <family val="1"/>
      </rPr>
      <t>(Electronic version can skip over these questions automatically if answer is “yes.”)</t>
    </r>
  </si>
  <si>
    <t>HMIS-Beds</t>
  </si>
  <si>
    <t>The total number of year-round beds in HMIS for households without children:</t>
  </si>
  <si>
    <t>The total number of year-round beds in HMIS for households with children:</t>
  </si>
  <si>
    <t>HMIS Bed Coverage Rate</t>
  </si>
  <si>
    <t>HMIS bed coverage rate for year-round beds for households without children:</t>
  </si>
  <si>
    <t>HMIS bed coverage rate for year-round beds for households with children:</t>
  </si>
  <si>
    <t xml:space="preserve">Total HMIS bed coverage rate for all year-round beds </t>
  </si>
  <si>
    <t>Q7. HMIS or Comparable Database Data Quality</t>
  </si>
  <si>
    <t xml:space="preserve">Program Applicability: All SHP, S+C, SRO, HPRP </t>
  </si>
  <si>
    <t>Data Element</t>
  </si>
  <si>
    <t>Applies to:</t>
  </si>
  <si>
    <t>Total Applicable Records</t>
  </si>
  <si>
    <t>Total Missing</t>
  </si>
  <si>
    <t>% Don’t Know/ Refused</t>
  </si>
  <si>
    <t>% Missing</t>
  </si>
  <si>
    <t>A</t>
  </si>
  <si>
    <t>B</t>
  </si>
  <si>
    <t>C</t>
  </si>
  <si>
    <t>D</t>
  </si>
  <si>
    <t>E</t>
  </si>
  <si>
    <t>F</t>
  </si>
  <si>
    <t>G</t>
  </si>
  <si>
    <t>First Name</t>
  </si>
  <si>
    <t>All clients</t>
  </si>
  <si>
    <t>Last Name</t>
  </si>
  <si>
    <t>SSN</t>
  </si>
  <si>
    <t>Date of Birth</t>
  </si>
  <si>
    <t>Race</t>
  </si>
  <si>
    <t>Ethnicity</t>
  </si>
  <si>
    <t>Gender</t>
  </si>
  <si>
    <t>Veteran Status</t>
  </si>
  <si>
    <t>Adults only</t>
  </si>
  <si>
    <t>Disabling Condition</t>
  </si>
  <si>
    <t>Residence Prior to Program Entry</t>
  </si>
  <si>
    <t xml:space="preserve">Zip Code of Last Permanent Address </t>
  </si>
  <si>
    <t>Housing Status (at entry)</t>
  </si>
  <si>
    <t>Income and Sources (at entry)</t>
  </si>
  <si>
    <t>Income and Sources (at exit)</t>
  </si>
  <si>
    <t>All Leavers</t>
  </si>
  <si>
    <t>Non-Cash Benefits (at entry)</t>
  </si>
  <si>
    <t>Non-Cash Benefits (at exit)</t>
  </si>
  <si>
    <t>Domestic Violence</t>
  </si>
  <si>
    <t>Destination</t>
  </si>
  <si>
    <t>Q8: Persons Served During the Operating Year by Household Type</t>
  </si>
  <si>
    <t>Program Applicability: Refer to sub questions</t>
  </si>
  <si>
    <t>Total number of persons</t>
  </si>
  <si>
    <r>
      <t xml:space="preserve">Persons in households </t>
    </r>
    <r>
      <rPr>
        <b/>
        <u/>
        <sz val="10"/>
        <color theme="1"/>
        <rFont val="Times New Roman"/>
        <family val="1"/>
      </rPr>
      <t>without</t>
    </r>
    <r>
      <rPr>
        <b/>
        <sz val="10"/>
        <color theme="1"/>
        <rFont val="Times New Roman"/>
        <family val="1"/>
      </rPr>
      <t xml:space="preserve"> children</t>
    </r>
  </si>
  <si>
    <r>
      <t xml:space="preserve">Persons in households </t>
    </r>
    <r>
      <rPr>
        <b/>
        <u/>
        <sz val="10"/>
        <color theme="1"/>
        <rFont val="Times New Roman"/>
        <family val="1"/>
      </rPr>
      <t>with</t>
    </r>
    <r>
      <rPr>
        <b/>
        <sz val="10"/>
        <color theme="1"/>
        <rFont val="Times New Roman"/>
        <family val="1"/>
      </rPr>
      <t xml:space="preserve"> children</t>
    </r>
  </si>
  <si>
    <t>Persons in households with at least one adult and one child</t>
  </si>
  <si>
    <t>Persons in households with only children</t>
  </si>
  <si>
    <t>(8a) The total number of persons served during the operating year</t>
  </si>
  <si>
    <t>Adults</t>
  </si>
  <si>
    <t>H1</t>
  </si>
  <si>
    <t>I1</t>
  </si>
  <si>
    <t>J1</t>
  </si>
  <si>
    <t xml:space="preserve">Children </t>
  </si>
  <si>
    <t>H2</t>
  </si>
  <si>
    <t>J2</t>
  </si>
  <si>
    <t>K2</t>
  </si>
  <si>
    <t xml:space="preserve">Don’t know / refused </t>
  </si>
  <si>
    <t>I3</t>
  </si>
  <si>
    <t>J3</t>
  </si>
  <si>
    <t>K3</t>
  </si>
  <si>
    <t>Missing information</t>
  </si>
  <si>
    <t>I4</t>
  </si>
  <si>
    <t>J4</t>
  </si>
  <si>
    <t>K4</t>
  </si>
  <si>
    <t>(8b) Average number of persons served each night during the operating year</t>
  </si>
  <si>
    <t>Program Applicability: All SHP, S+C, SRO</t>
  </si>
  <si>
    <t>Average number of persons served</t>
  </si>
  <si>
    <t>I6</t>
  </si>
  <si>
    <t>J6</t>
  </si>
  <si>
    <t>K6</t>
  </si>
  <si>
    <t>(8c) Point-in-Time counts of persons during the operating year</t>
  </si>
  <si>
    <r>
      <t xml:space="preserve">Number of </t>
    </r>
    <r>
      <rPr>
        <i/>
        <sz val="10"/>
        <color theme="1"/>
        <rFont val="Times New Roman"/>
        <family val="1"/>
      </rPr>
      <t>persons</t>
    </r>
    <r>
      <rPr>
        <sz val="10"/>
        <color theme="1"/>
        <rFont val="Times New Roman"/>
        <family val="1"/>
      </rPr>
      <t xml:space="preserve"> served on the last Wednesday in…</t>
    </r>
  </si>
  <si>
    <t>…January</t>
  </si>
  <si>
    <t>I7</t>
  </si>
  <si>
    <t>J7</t>
  </si>
  <si>
    <t>K7</t>
  </si>
  <si>
    <t>…April</t>
  </si>
  <si>
    <t>I8</t>
  </si>
  <si>
    <t>J8</t>
  </si>
  <si>
    <t>K8</t>
  </si>
  <si>
    <t>…July</t>
  </si>
  <si>
    <t>I9</t>
  </si>
  <si>
    <t>J9</t>
  </si>
  <si>
    <t>K9</t>
  </si>
  <si>
    <t>…October</t>
  </si>
  <si>
    <t>I10</t>
  </si>
  <si>
    <t>J10</t>
  </si>
  <si>
    <t>Q9: Households Served During the Operating Year</t>
  </si>
  <si>
    <t>Total number of households</t>
  </si>
  <si>
    <r>
      <t xml:space="preserve">Households </t>
    </r>
    <r>
      <rPr>
        <b/>
        <u/>
        <sz val="10"/>
        <color theme="1"/>
        <rFont val="Times New Roman"/>
        <family val="1"/>
      </rPr>
      <t>without</t>
    </r>
    <r>
      <rPr>
        <b/>
        <sz val="10"/>
        <color theme="1"/>
        <rFont val="Times New Roman"/>
        <family val="1"/>
      </rPr>
      <t xml:space="preserve"> children</t>
    </r>
  </si>
  <si>
    <r>
      <t xml:space="preserve">Households </t>
    </r>
    <r>
      <rPr>
        <b/>
        <u/>
        <sz val="10"/>
        <color theme="1"/>
        <rFont val="Times New Roman"/>
        <family val="1"/>
      </rPr>
      <t>with</t>
    </r>
    <r>
      <rPr>
        <b/>
        <sz val="10"/>
        <color theme="1"/>
        <rFont val="Times New Roman"/>
        <family val="1"/>
      </rPr>
      <t xml:space="preserve"> children</t>
    </r>
  </si>
  <si>
    <t>Households with at least one adult and one child</t>
  </si>
  <si>
    <t>Households with only children</t>
  </si>
  <si>
    <t>(9a) Total number of households served at any time during the operating year</t>
  </si>
  <si>
    <t xml:space="preserve">Households </t>
  </si>
  <si>
    <t>L1</t>
  </si>
  <si>
    <t>M1</t>
  </si>
  <si>
    <t>N1</t>
  </si>
  <si>
    <t>O1</t>
  </si>
  <si>
    <t>(9b) Point-in-Time counts of households during the operating year</t>
  </si>
  <si>
    <t xml:space="preserve">Program Applicability: All SHP, S+C, SRO </t>
  </si>
  <si>
    <r>
      <t xml:space="preserve">Number of </t>
    </r>
    <r>
      <rPr>
        <i/>
        <sz val="10"/>
        <color theme="1"/>
        <rFont val="Times New Roman"/>
        <family val="1"/>
      </rPr>
      <t>households</t>
    </r>
    <r>
      <rPr>
        <sz val="10"/>
        <color theme="1"/>
        <rFont val="Times New Roman"/>
        <family val="1"/>
      </rPr>
      <t xml:space="preserve"> served on the last Wednesday in…</t>
    </r>
  </si>
  <si>
    <t>L2</t>
  </si>
  <si>
    <t>M2</t>
  </si>
  <si>
    <t>N2</t>
  </si>
  <si>
    <t>O2</t>
  </si>
  <si>
    <t>L3</t>
  </si>
  <si>
    <t>M3</t>
  </si>
  <si>
    <t>N3</t>
  </si>
  <si>
    <t>O3</t>
  </si>
  <si>
    <t>L4</t>
  </si>
  <si>
    <t>M4</t>
  </si>
  <si>
    <t>N4</t>
  </si>
  <si>
    <t>O4</t>
  </si>
  <si>
    <t>L5</t>
  </si>
  <si>
    <t>M5</t>
  </si>
  <si>
    <t>N5</t>
  </si>
  <si>
    <t>O5</t>
  </si>
  <si>
    <t>Q10: Bed Utilization Rate</t>
  </si>
  <si>
    <t>Program Applicability: SHP-TH/PH, S+C, SRO</t>
  </si>
  <si>
    <t xml:space="preserve">(10a) Average daily bed utilization rate during the operating year </t>
  </si>
  <si>
    <t xml:space="preserve">Average daily utilization rate during the operating year </t>
  </si>
  <si>
    <t>(Calculation): (Question8b.H5/( Question5.C1+Question5.C2))*100</t>
  </si>
  <si>
    <t xml:space="preserve">(10b) Point-in-time bed utilization rate </t>
  </si>
  <si>
    <t>Bed utilization rate on the last Wednesday in…</t>
  </si>
  <si>
    <t>(Calculation): (Question8c H6/(Question5.C1+Question5.C2))*100</t>
  </si>
  <si>
    <t>(Calculation): (Question8c H7/( Question5.C1+Question5.C2))*100</t>
  </si>
  <si>
    <t>(Calculation): (Question8c H8/( Question5.C1+Question5.C2))*100</t>
  </si>
  <si>
    <t>(Calculation): (Question8c H9/( Question5.C1+Question5.C2))*100</t>
  </si>
  <si>
    <t>HIV/AIDS*</t>
  </si>
  <si>
    <t>Mental Health*</t>
  </si>
  <si>
    <t>Substance Abuse*</t>
  </si>
  <si>
    <t>* Collected at Entry, HPRP clients excluded</t>
  </si>
  <si>
    <t>Physical Disability*</t>
  </si>
  <si>
    <t>Developmental Disability*</t>
  </si>
  <si>
    <t>Chronic Health Condition*</t>
  </si>
  <si>
    <t>Total Don’t Know/Refused</t>
  </si>
  <si>
    <t xml:space="preserve">Q11: Unit Utilization Rate </t>
  </si>
  <si>
    <t>Program Applicability: SHP-TH/PH, S+C Projects serving households with at least one adult and one child</t>
  </si>
  <si>
    <t xml:space="preserve">Point-in-time unit utilization rate </t>
  </si>
  <si>
    <t>Unit utilization rate on the last Wednesday in…</t>
  </si>
  <si>
    <t>(Calculation): (Question9b.L2/(Question5.A3+Question5.B2))*100</t>
  </si>
  <si>
    <t>(Calculation): (Question9b L3/( Question5.A3+Question5.B2))*100</t>
  </si>
  <si>
    <t>(Calculation): (Question9b L4/( Question5.A3+Question5.B2))*100</t>
  </si>
  <si>
    <t>(Calculation): (Question9b L5/( Question5.A3+Question5.B2))*100</t>
  </si>
  <si>
    <t xml:space="preserve">Q12: Client Contacts and Engagements </t>
  </si>
  <si>
    <t>Program Applicability: SHP- SSO Street Outreach Programs</t>
  </si>
  <si>
    <t>Client Applicability: All Persons</t>
  </si>
  <si>
    <t>All Persons Contacted</t>
  </si>
  <si>
    <t>… once?</t>
  </si>
  <si>
    <t>P1</t>
  </si>
  <si>
    <t>…. 2-5 times?</t>
  </si>
  <si>
    <t>P2</t>
  </si>
  <si>
    <t>…. 6-9 times?</t>
  </si>
  <si>
    <t>P3</t>
  </si>
  <si>
    <t>…10 or more times?</t>
  </si>
  <si>
    <t>P4</t>
  </si>
  <si>
    <t>Total number of persons contacted during the operating year</t>
  </si>
  <si>
    <t>(12b) Of those persons contacted by the street outreach program during the operating year, how many persons were engaged after…</t>
  </si>
  <si>
    <t>Total number of persons engaged during the operating year</t>
  </si>
  <si>
    <t xml:space="preserve">(12c) Rate of Engagement: </t>
  </si>
  <si>
    <t xml:space="preserve">Number of persons who were engaged divided by the number of persons contacted </t>
  </si>
  <si>
    <t xml:space="preserve">Q13: Housing Status at Entry </t>
  </si>
  <si>
    <t>Program Applicability: HPRP</t>
  </si>
  <si>
    <t>Housing Status at Entry</t>
  </si>
  <si>
    <r>
      <t xml:space="preserve">Number of persons in households </t>
    </r>
    <r>
      <rPr>
        <b/>
        <u/>
        <sz val="10"/>
        <color theme="1"/>
        <rFont val="Times New Roman"/>
        <family val="1"/>
      </rPr>
      <t>without</t>
    </r>
    <r>
      <rPr>
        <b/>
        <sz val="10"/>
        <color theme="1"/>
        <rFont val="Times New Roman"/>
        <family val="1"/>
      </rPr>
      <t xml:space="preserve"> children </t>
    </r>
  </si>
  <si>
    <r>
      <t xml:space="preserve">Number of persons in households </t>
    </r>
    <r>
      <rPr>
        <b/>
        <u/>
        <sz val="10"/>
        <color theme="1"/>
        <rFont val="Times New Roman"/>
        <family val="1"/>
      </rPr>
      <t>with</t>
    </r>
    <r>
      <rPr>
        <b/>
        <sz val="10"/>
        <color theme="1"/>
        <rFont val="Times New Roman"/>
        <family val="1"/>
      </rPr>
      <t xml:space="preserve"> children </t>
    </r>
  </si>
  <si>
    <t xml:space="preserve">Total number of  persons </t>
  </si>
  <si>
    <t>N</t>
  </si>
  <si>
    <t>Percent</t>
  </si>
  <si>
    <t>Literally homeless</t>
  </si>
  <si>
    <t>S1</t>
  </si>
  <si>
    <t>Imminently losing their housing</t>
  </si>
  <si>
    <t>S2</t>
  </si>
  <si>
    <t>Unstably housed and at-risk of losing their housing</t>
  </si>
  <si>
    <t>S3</t>
  </si>
  <si>
    <t>Stably housed</t>
  </si>
  <si>
    <t>S4</t>
  </si>
  <si>
    <t>S5</t>
  </si>
  <si>
    <t>Missing this Information</t>
  </si>
  <si>
    <t>S6</t>
  </si>
  <si>
    <t>Q14: Persons and Households Served by Housing Status at Entry and Service Activities</t>
  </si>
  <si>
    <t>Client Applicability:  All Persons</t>
  </si>
  <si>
    <t>Homelessness Prevention</t>
  </si>
  <si>
    <t>Homeless Assistance</t>
  </si>
  <si>
    <t>TOTAL</t>
  </si>
  <si>
    <t>Persons</t>
  </si>
  <si>
    <t>Households</t>
  </si>
  <si>
    <t>Operating Year</t>
  </si>
  <si>
    <t>Grant to Date</t>
  </si>
  <si>
    <t>Total Served</t>
  </si>
  <si>
    <t>W0</t>
  </si>
  <si>
    <t>X0</t>
  </si>
  <si>
    <t>Y0</t>
  </si>
  <si>
    <t>Z0</t>
  </si>
  <si>
    <t>AA0</t>
  </si>
  <si>
    <t>BB0</t>
  </si>
  <si>
    <t>CC0</t>
  </si>
  <si>
    <t>DD0</t>
  </si>
  <si>
    <t>EE0</t>
  </si>
  <si>
    <t>FF0</t>
  </si>
  <si>
    <t>GG0</t>
  </si>
  <si>
    <t>HH0</t>
  </si>
  <si>
    <t>Financial Assistance</t>
  </si>
  <si>
    <t>Rental assistance</t>
  </si>
  <si>
    <t>W1</t>
  </si>
  <si>
    <t>X1</t>
  </si>
  <si>
    <t>Y1</t>
  </si>
  <si>
    <t>Z1</t>
  </si>
  <si>
    <t>AA1</t>
  </si>
  <si>
    <t>BB1</t>
  </si>
  <si>
    <t>CC1</t>
  </si>
  <si>
    <t>DD1</t>
  </si>
  <si>
    <t>EE1</t>
  </si>
  <si>
    <t>FF1</t>
  </si>
  <si>
    <t>GG1</t>
  </si>
  <si>
    <t>HH1</t>
  </si>
  <si>
    <t>W2</t>
  </si>
  <si>
    <t>X2</t>
  </si>
  <si>
    <t>Y2</t>
  </si>
  <si>
    <t>Z2</t>
  </si>
  <si>
    <t>AA2</t>
  </si>
  <si>
    <t>BB2</t>
  </si>
  <si>
    <t>CC2</t>
  </si>
  <si>
    <t>DD2</t>
  </si>
  <si>
    <t>EE2</t>
  </si>
  <si>
    <t>FF2</t>
  </si>
  <si>
    <t>GG2</t>
  </si>
  <si>
    <t>HH2</t>
  </si>
  <si>
    <t>Utility payments</t>
  </si>
  <si>
    <t>W3</t>
  </si>
  <si>
    <t>X3</t>
  </si>
  <si>
    <t>Y3</t>
  </si>
  <si>
    <t>Z3</t>
  </si>
  <si>
    <t>AA3</t>
  </si>
  <si>
    <t>BB3</t>
  </si>
  <si>
    <t>CC3</t>
  </si>
  <si>
    <t>DD3</t>
  </si>
  <si>
    <t>EE3</t>
  </si>
  <si>
    <t>FF3</t>
  </si>
  <si>
    <t>GG3</t>
  </si>
  <si>
    <t>HH3</t>
  </si>
  <si>
    <t>Moving cost assistance</t>
  </si>
  <si>
    <t>W4</t>
  </si>
  <si>
    <t>X4</t>
  </si>
  <si>
    <t>Y4</t>
  </si>
  <si>
    <t>Z4</t>
  </si>
  <si>
    <t>AA4</t>
  </si>
  <si>
    <t>BB4</t>
  </si>
  <si>
    <t>CC4</t>
  </si>
  <si>
    <t>DD4</t>
  </si>
  <si>
    <t>EE4</t>
  </si>
  <si>
    <t>FF4</t>
  </si>
  <si>
    <t>GG4</t>
  </si>
  <si>
    <t>HH4</t>
  </si>
  <si>
    <t>Motel &amp; hotel vouchers</t>
  </si>
  <si>
    <t>W5</t>
  </si>
  <si>
    <t>X5</t>
  </si>
  <si>
    <t>Y5</t>
  </si>
  <si>
    <t>Z5</t>
  </si>
  <si>
    <t>AA5</t>
  </si>
  <si>
    <t>BB5</t>
  </si>
  <si>
    <t>CC5</t>
  </si>
  <si>
    <t>DD5</t>
  </si>
  <si>
    <t>EE5</t>
  </si>
  <si>
    <t>FF5</t>
  </si>
  <si>
    <t>GG5</t>
  </si>
  <si>
    <t>HH5</t>
  </si>
  <si>
    <t>W6</t>
  </si>
  <si>
    <t>X6</t>
  </si>
  <si>
    <t>Y6</t>
  </si>
  <si>
    <t>Z6</t>
  </si>
  <si>
    <t>AA6</t>
  </si>
  <si>
    <t>BB6</t>
  </si>
  <si>
    <t>CC6</t>
  </si>
  <si>
    <t>DD6</t>
  </si>
  <si>
    <t>EE6</t>
  </si>
  <si>
    <t>FF6</t>
  </si>
  <si>
    <t>GG6</t>
  </si>
  <si>
    <t>HH6</t>
  </si>
  <si>
    <t>Housing Relocation &amp; Stabilization Services</t>
  </si>
  <si>
    <t>Case management</t>
  </si>
  <si>
    <t>W7</t>
  </si>
  <si>
    <t>X7</t>
  </si>
  <si>
    <t>Y7</t>
  </si>
  <si>
    <t>Z7</t>
  </si>
  <si>
    <t>AA7</t>
  </si>
  <si>
    <t>BB7</t>
  </si>
  <si>
    <t>CC7</t>
  </si>
  <si>
    <t>DD7</t>
  </si>
  <si>
    <t>EE7</t>
  </si>
  <si>
    <t>FF7</t>
  </si>
  <si>
    <t>GG7</t>
  </si>
  <si>
    <t>HH7</t>
  </si>
  <si>
    <t>Outreach and engagement</t>
  </si>
  <si>
    <t>W8</t>
  </si>
  <si>
    <t>X8</t>
  </si>
  <si>
    <t>Y8</t>
  </si>
  <si>
    <t>Z8</t>
  </si>
  <si>
    <t>AA8</t>
  </si>
  <si>
    <t>BB8</t>
  </si>
  <si>
    <t>CC8</t>
  </si>
  <si>
    <t>DD8</t>
  </si>
  <si>
    <t>EE8</t>
  </si>
  <si>
    <t>FF8</t>
  </si>
  <si>
    <t>GG8</t>
  </si>
  <si>
    <t>HH8</t>
  </si>
  <si>
    <t>W9</t>
  </si>
  <si>
    <t>X9</t>
  </si>
  <si>
    <t>Y9</t>
  </si>
  <si>
    <t>Z9</t>
  </si>
  <si>
    <t>AA9</t>
  </si>
  <si>
    <t>BB9</t>
  </si>
  <si>
    <t>CC9</t>
  </si>
  <si>
    <t>DD9</t>
  </si>
  <si>
    <t>EE9</t>
  </si>
  <si>
    <t>FF9</t>
  </si>
  <si>
    <t>GG9</t>
  </si>
  <si>
    <t>HH9</t>
  </si>
  <si>
    <t>Legal services</t>
  </si>
  <si>
    <t>W10</t>
  </si>
  <si>
    <t>X10</t>
  </si>
  <si>
    <t>Y10</t>
  </si>
  <si>
    <t>Z10</t>
  </si>
  <si>
    <t>AA10</t>
  </si>
  <si>
    <t>BB10</t>
  </si>
  <si>
    <t>CC10</t>
  </si>
  <si>
    <t>DD10</t>
  </si>
  <si>
    <t>EE10</t>
  </si>
  <si>
    <t>FF10</t>
  </si>
  <si>
    <t>GG10</t>
  </si>
  <si>
    <t>HH10</t>
  </si>
  <si>
    <t>Credit repair</t>
  </si>
  <si>
    <t>W11</t>
  </si>
  <si>
    <t>X11</t>
  </si>
  <si>
    <t>Y11</t>
  </si>
  <si>
    <t>Z11</t>
  </si>
  <si>
    <t>AA11</t>
  </si>
  <si>
    <t>BB11</t>
  </si>
  <si>
    <t>CC11</t>
  </si>
  <si>
    <t>DD11</t>
  </si>
  <si>
    <t>EE11</t>
  </si>
  <si>
    <t>FF11</t>
  </si>
  <si>
    <t>GG11</t>
  </si>
  <si>
    <t>HH11</t>
  </si>
  <si>
    <t>W12</t>
  </si>
  <si>
    <t>X12</t>
  </si>
  <si>
    <t>Y12</t>
  </si>
  <si>
    <t>Z12</t>
  </si>
  <si>
    <t>AA12</t>
  </si>
  <si>
    <t>BB12</t>
  </si>
  <si>
    <t>CC12</t>
  </si>
  <si>
    <t>DD</t>
  </si>
  <si>
    <t>EE12</t>
  </si>
  <si>
    <t>FF12</t>
  </si>
  <si>
    <t>GG12</t>
  </si>
  <si>
    <t>HH12</t>
  </si>
  <si>
    <t xml:space="preserve">Q15: Gender </t>
  </si>
  <si>
    <t>(15a) Gender of adults</t>
  </si>
  <si>
    <t>Male</t>
  </si>
  <si>
    <t>Female</t>
  </si>
  <si>
    <t>Transgendered</t>
  </si>
  <si>
    <t>Don’t know / refused</t>
  </si>
  <si>
    <t>Missing this information</t>
  </si>
  <si>
    <t>Total number of adults</t>
  </si>
  <si>
    <t>(15b) Gender of children</t>
  </si>
  <si>
    <t>Don’t know /refused</t>
  </si>
  <si>
    <t>Total number of children</t>
  </si>
  <si>
    <t>(15c) Gender of persons missing age information</t>
  </si>
  <si>
    <t>Total number of persons missing age information</t>
  </si>
  <si>
    <t>N/A</t>
  </si>
  <si>
    <t xml:space="preserve">Q16: Age </t>
  </si>
  <si>
    <t xml:space="preserve">Age Ranges </t>
  </si>
  <si>
    <t xml:space="preserve">Total number of persons </t>
  </si>
  <si>
    <t>Under 5 years</t>
  </si>
  <si>
    <t>G1</t>
  </si>
  <si>
    <t>5 – 12</t>
  </si>
  <si>
    <t>G2</t>
  </si>
  <si>
    <t>13 – 17</t>
  </si>
  <si>
    <t>G3</t>
  </si>
  <si>
    <t>18 – 24</t>
  </si>
  <si>
    <t>25 – 34</t>
  </si>
  <si>
    <t>F5</t>
  </si>
  <si>
    <t>35 – 44</t>
  </si>
  <si>
    <t>F6</t>
  </si>
  <si>
    <t>45 – 54</t>
  </si>
  <si>
    <t>F7</t>
  </si>
  <si>
    <t>55 – 61</t>
  </si>
  <si>
    <t>F8</t>
  </si>
  <si>
    <t>62 and over</t>
  </si>
  <si>
    <t>F9</t>
  </si>
  <si>
    <t>F10</t>
  </si>
  <si>
    <t>F11</t>
  </si>
  <si>
    <t xml:space="preserve">Q17: Ethnicity and Race </t>
  </si>
  <si>
    <t>Ethnicity and race</t>
  </si>
  <si>
    <t xml:space="preserve">Total number of </t>
  </si>
  <si>
    <t>(17a) Ethnicity</t>
  </si>
  <si>
    <t>Non-Hispanic/non-Latino</t>
  </si>
  <si>
    <t>K1</t>
  </si>
  <si>
    <t>Hispanic/Latino</t>
  </si>
  <si>
    <t>I2</t>
  </si>
  <si>
    <t>(17b) Race (cross-tabulated with Ethnicity)</t>
  </si>
  <si>
    <t>White, Non-Hispanic/Non-Latino</t>
  </si>
  <si>
    <t>L6</t>
  </si>
  <si>
    <t>White, Hispanic/Latino</t>
  </si>
  <si>
    <t>White, missing Ethnicity</t>
  </si>
  <si>
    <t>L8</t>
  </si>
  <si>
    <t>Black or African-American</t>
  </si>
  <si>
    <t>L9</t>
  </si>
  <si>
    <t>Asian</t>
  </si>
  <si>
    <t>K10</t>
  </si>
  <si>
    <t>L10</t>
  </si>
  <si>
    <t>American Indian or Alaska Native</t>
  </si>
  <si>
    <t>I11</t>
  </si>
  <si>
    <t>J11</t>
  </si>
  <si>
    <t>K11</t>
  </si>
  <si>
    <t>L11</t>
  </si>
  <si>
    <t>Native Hawaiian or Other Pacific Islander</t>
  </si>
  <si>
    <t>I12</t>
  </si>
  <si>
    <t>J12</t>
  </si>
  <si>
    <t>K12</t>
  </si>
  <si>
    <t>L12</t>
  </si>
  <si>
    <t>Multiple races</t>
  </si>
  <si>
    <t>I13</t>
  </si>
  <si>
    <t>J13</t>
  </si>
  <si>
    <t>K13</t>
  </si>
  <si>
    <t>L13</t>
  </si>
  <si>
    <t>I14</t>
  </si>
  <si>
    <t>J14</t>
  </si>
  <si>
    <t>K14</t>
  </si>
  <si>
    <t>Missing Race, Hispanic/Non-Latino</t>
  </si>
  <si>
    <t>J15</t>
  </si>
  <si>
    <t>K15</t>
  </si>
  <si>
    <t>Missing Race, non-Hispanic/non-Latino or missing Ethnicity</t>
  </si>
  <si>
    <t>J16</t>
  </si>
  <si>
    <t>K16</t>
  </si>
  <si>
    <t>Number and percent minority</t>
  </si>
  <si>
    <t>Number and percent non-minority</t>
  </si>
  <si>
    <t>Date of Submission</t>
  </si>
  <si>
    <t>Q18: Physical and Mental Health Condition at Entry</t>
  </si>
  <si>
    <t>Physical and mental health conditions and number of health conditions</t>
  </si>
  <si>
    <r>
      <t xml:space="preserve">Number of persons in households </t>
    </r>
    <r>
      <rPr>
        <b/>
        <u/>
        <sz val="10"/>
        <color theme="1"/>
        <rFont val="Times New Roman"/>
        <family val="1"/>
      </rPr>
      <t>without</t>
    </r>
    <r>
      <rPr>
        <b/>
        <sz val="10"/>
        <color theme="1"/>
        <rFont val="Times New Roman"/>
        <family val="1"/>
      </rPr>
      <t xml:space="preserve"> children</t>
    </r>
  </si>
  <si>
    <r>
      <t xml:space="preserve">Number of persons in households </t>
    </r>
    <r>
      <rPr>
        <b/>
        <u/>
        <sz val="10"/>
        <color theme="1"/>
        <rFont val="Times New Roman"/>
        <family val="1"/>
      </rPr>
      <t>with</t>
    </r>
    <r>
      <rPr>
        <b/>
        <sz val="10"/>
        <color theme="1"/>
        <rFont val="Times New Roman"/>
        <family val="1"/>
      </rPr>
      <t xml:space="preserve"> children</t>
    </r>
  </si>
  <si>
    <t>All persons</t>
  </si>
  <si>
    <t>Children</t>
  </si>
  <si>
    <t>%</t>
  </si>
  <si>
    <t>(18a) Number of known conditions</t>
  </si>
  <si>
    <t>None</t>
  </si>
  <si>
    <t>1 known condition</t>
  </si>
  <si>
    <t>2 known conditions</t>
  </si>
  <si>
    <t>3 or more known conditions</t>
  </si>
  <si>
    <t>Disabled – condition unknown</t>
  </si>
  <si>
    <t>P5</t>
  </si>
  <si>
    <t>M6</t>
  </si>
  <si>
    <t>N6</t>
  </si>
  <si>
    <t>O6</t>
  </si>
  <si>
    <t>M7</t>
  </si>
  <si>
    <t>N7</t>
  </si>
  <si>
    <t>O7</t>
  </si>
  <si>
    <t>(18b) Known Physical and mental health conditions</t>
  </si>
  <si>
    <t>Mental illness</t>
  </si>
  <si>
    <t>O9</t>
  </si>
  <si>
    <t>Alcohol abuse</t>
  </si>
  <si>
    <t>O10</t>
  </si>
  <si>
    <t>Drug abuse</t>
  </si>
  <si>
    <t>O11</t>
  </si>
  <si>
    <t>Chronic health condition</t>
  </si>
  <si>
    <t>O12</t>
  </si>
  <si>
    <t>HIV/AIDS and related diseases</t>
  </si>
  <si>
    <t>O13</t>
  </si>
  <si>
    <t>Developmental disability</t>
  </si>
  <si>
    <t>O14</t>
  </si>
  <si>
    <t>Physical disability</t>
  </si>
  <si>
    <t>O15</t>
  </si>
  <si>
    <t xml:space="preserve">Q19a: Victims of Domestic Violence </t>
  </si>
  <si>
    <t>Client Applicability: Adults and Unaccompanied Youth</t>
  </si>
  <si>
    <t>Status of Domestic Violence experience and when experience occurred</t>
  </si>
  <si>
    <t>Adults and Unaccompanied youth</t>
  </si>
  <si>
    <r>
      <t xml:space="preserve">Number of Adults  in households </t>
    </r>
    <r>
      <rPr>
        <b/>
        <u/>
        <sz val="10"/>
        <color theme="1"/>
        <rFont val="Times New Roman"/>
        <family val="1"/>
      </rPr>
      <t>without</t>
    </r>
    <r>
      <rPr>
        <b/>
        <sz val="10"/>
        <color theme="1"/>
        <rFont val="Times New Roman"/>
        <family val="1"/>
      </rPr>
      <t xml:space="preserve"> children </t>
    </r>
  </si>
  <si>
    <t>Adults  in households with at least one adult and one child</t>
  </si>
  <si>
    <t>Persons in households with only children (i.e., Unaccompanied Youth)</t>
  </si>
  <si>
    <t>(19a) Past Domestic Violence Experience</t>
  </si>
  <si>
    <t>Yes</t>
  </si>
  <si>
    <t>No</t>
  </si>
  <si>
    <t>(19b) When experience occurred</t>
  </si>
  <si>
    <t>Within the past three months</t>
  </si>
  <si>
    <t>Three to six months ago</t>
  </si>
  <si>
    <t>S7</t>
  </si>
  <si>
    <t>From six to twelve months ago</t>
  </si>
  <si>
    <t>S8</t>
  </si>
  <si>
    <t>More than a year ago</t>
  </si>
  <si>
    <t>S9</t>
  </si>
  <si>
    <t>S10</t>
  </si>
  <si>
    <t>S11</t>
  </si>
  <si>
    <t>Q19c Households Served by Victim Service Providers During the Operating Year</t>
  </si>
  <si>
    <r>
      <t xml:space="preserve">Number of Persons in Households </t>
    </r>
    <r>
      <rPr>
        <b/>
        <u/>
        <sz val="10"/>
        <color theme="1"/>
        <rFont val="Times New Roman"/>
        <family val="1"/>
      </rPr>
      <t>without</t>
    </r>
    <r>
      <rPr>
        <b/>
        <sz val="10"/>
        <color theme="1"/>
        <rFont val="Times New Roman"/>
        <family val="1"/>
      </rPr>
      <t xml:space="preserve"> children</t>
    </r>
  </si>
  <si>
    <t>Number of persons in households with at least one adult and one child</t>
  </si>
  <si>
    <t>Total Number of Persons</t>
  </si>
  <si>
    <t>Number of persons in households with only children</t>
  </si>
  <si>
    <t xml:space="preserve">Q20: Residence Prior to Program Entry </t>
  </si>
  <si>
    <t>Living arrangement the night before program entry</t>
  </si>
  <si>
    <t>(20a) Homeless Situations</t>
  </si>
  <si>
    <t>Emergency shelter, including hotel or motel paid for with emergency shelter voucher</t>
  </si>
  <si>
    <t>Transitional housing for homeless persons (including homeless youth)</t>
  </si>
  <si>
    <t>Place not meant for human habitation (e.g., a vehicle, an abandoned building, bus/train/subway station/airport or anywhere outside); inclusive of “non-housing service site” (outreach programs only)</t>
  </si>
  <si>
    <t>Safe Haven</t>
  </si>
  <si>
    <t>(20b) Institutional Settings</t>
  </si>
  <si>
    <t>Psychiatric hospital or other psychiatric facility</t>
  </si>
  <si>
    <t>Substance abuse treatment facility or detox center</t>
  </si>
  <si>
    <t>Hospital (non-psychiatric)</t>
  </si>
  <si>
    <t>Jail, prison, or juvenile detention facility</t>
  </si>
  <si>
    <t>Foster care home or foster care group home</t>
  </si>
  <si>
    <t>(20c) Other Locations</t>
  </si>
  <si>
    <t>Permanent housing for formerly homeless persons (such as SHP, S+C, or SRO Mod Rehab)</t>
  </si>
  <si>
    <t>Owned by client, no ongoing housing subsidy</t>
  </si>
  <si>
    <t>Owned by client, with ongoing housing subsidy</t>
  </si>
  <si>
    <t>Rental by client, no ongoing housing subsidy</t>
  </si>
  <si>
    <t>Rental by client, with VASH housing subsidy</t>
  </si>
  <si>
    <t>Rental by client, with other (non-VASH) ongoing housing subsidy</t>
  </si>
  <si>
    <t>Hotel or motel paid for without emergency shelter voucher</t>
  </si>
  <si>
    <t>Staying or living in a family member’s room, apartment or house</t>
  </si>
  <si>
    <t>Staying or living in a friend’s room, apartment or house</t>
  </si>
  <si>
    <t xml:space="preserve">Other </t>
  </si>
  <si>
    <r>
      <t xml:space="preserve">Number of persons in households </t>
    </r>
    <r>
      <rPr>
        <b/>
        <u/>
        <sz val="8"/>
        <color theme="1"/>
        <rFont val="Times New Roman"/>
        <family val="1"/>
      </rPr>
      <t>with</t>
    </r>
    <r>
      <rPr>
        <b/>
        <sz val="8"/>
        <color theme="1"/>
        <rFont val="Times New Roman"/>
        <family val="1"/>
      </rPr>
      <t xml:space="preserve"> children </t>
    </r>
  </si>
  <si>
    <r>
      <t xml:space="preserve">Number of persons in households </t>
    </r>
    <r>
      <rPr>
        <b/>
        <u/>
        <sz val="8"/>
        <color theme="1"/>
        <rFont val="Times New Roman"/>
        <family val="1"/>
      </rPr>
      <t>without</t>
    </r>
    <r>
      <rPr>
        <b/>
        <sz val="8"/>
        <color theme="1"/>
        <rFont val="Times New Roman"/>
        <family val="1"/>
      </rPr>
      <t xml:space="preserve"> children </t>
    </r>
  </si>
  <si>
    <t xml:space="preserve">Q21: Veteran Status </t>
  </si>
  <si>
    <t>Client Applicability: Adults Only</t>
  </si>
  <si>
    <t>Veteran status</t>
  </si>
  <si>
    <r>
      <t xml:space="preserve">Number of adults in households </t>
    </r>
    <r>
      <rPr>
        <b/>
        <u/>
        <sz val="10"/>
        <color theme="1"/>
        <rFont val="Times New Roman"/>
        <family val="1"/>
      </rPr>
      <t>without</t>
    </r>
    <r>
      <rPr>
        <b/>
        <sz val="10"/>
        <color theme="1"/>
        <rFont val="Times New Roman"/>
        <family val="1"/>
      </rPr>
      <t xml:space="preserve"> children</t>
    </r>
  </si>
  <si>
    <r>
      <t xml:space="preserve">Number of adults in households </t>
    </r>
    <r>
      <rPr>
        <b/>
        <u/>
        <sz val="10"/>
        <color theme="1"/>
        <rFont val="Times New Roman"/>
        <family val="1"/>
      </rPr>
      <t>with</t>
    </r>
    <r>
      <rPr>
        <b/>
        <sz val="10"/>
        <color theme="1"/>
        <rFont val="Times New Roman"/>
        <family val="1"/>
      </rPr>
      <t xml:space="preserve"> children</t>
    </r>
  </si>
  <si>
    <t>Adults in households with at least one adult and one child</t>
  </si>
  <si>
    <t>A veteran</t>
  </si>
  <si>
    <t>Not a veteran</t>
  </si>
  <si>
    <t>Q22: Physical and Mental Health Condition at Exit by Exit Status</t>
  </si>
  <si>
    <t>(22a) Number of known conditions</t>
  </si>
  <si>
    <t>F1</t>
  </si>
  <si>
    <t>F2</t>
  </si>
  <si>
    <t>F3</t>
  </si>
  <si>
    <t>(22b) Known Physical and mental health conditions</t>
  </si>
  <si>
    <t>F12</t>
  </si>
  <si>
    <t>F13</t>
  </si>
  <si>
    <t>F14</t>
  </si>
  <si>
    <t>F15</t>
  </si>
  <si>
    <t>2 or more known conditions</t>
  </si>
  <si>
    <t xml:space="preserve">Q23: Client Monthly Cash-Income Amount by Entry and Exit Status </t>
  </si>
  <si>
    <t>No income</t>
  </si>
  <si>
    <t>$1 – $150</t>
  </si>
  <si>
    <t>$501 – $750</t>
  </si>
  <si>
    <t>$751 – $1,000</t>
  </si>
  <si>
    <t>$1,001 – $1,250</t>
  </si>
  <si>
    <t>$1,251 – $1,500</t>
  </si>
  <si>
    <t>$1,501 – $1,750</t>
  </si>
  <si>
    <t>$1,751 – $2,000</t>
  </si>
  <si>
    <t>$2,001 or more</t>
  </si>
  <si>
    <t>J5</t>
  </si>
  <si>
    <t>K5</t>
  </si>
  <si>
    <t>P6</t>
  </si>
  <si>
    <t>P7</t>
  </si>
  <si>
    <t>M8</t>
  </si>
  <si>
    <t>N8</t>
  </si>
  <si>
    <t>O8</t>
  </si>
  <si>
    <t>P8</t>
  </si>
  <si>
    <t>M9</t>
  </si>
  <si>
    <t>N9</t>
  </si>
  <si>
    <t>P9</t>
  </si>
  <si>
    <t>M10</t>
  </si>
  <si>
    <t>N10</t>
  </si>
  <si>
    <t>P10</t>
  </si>
  <si>
    <t>M11</t>
  </si>
  <si>
    <t>N11</t>
  </si>
  <si>
    <t>P11</t>
  </si>
  <si>
    <t>M12</t>
  </si>
  <si>
    <t>N12</t>
  </si>
  <si>
    <t>P12</t>
  </si>
  <si>
    <t>S12</t>
  </si>
  <si>
    <t>M13</t>
  </si>
  <si>
    <t>N13</t>
  </si>
  <si>
    <t>P13</t>
  </si>
  <si>
    <t>S13</t>
  </si>
  <si>
    <t xml:space="preserve">Q24: Client Monthly Cash-Income Amount by Entry and Latest Status </t>
  </si>
  <si>
    <t>I5</t>
  </si>
  <si>
    <t xml:space="preserve">Q25: Client Cash-Income Sources by Exit Status </t>
  </si>
  <si>
    <t>Cash-income sources</t>
  </si>
  <si>
    <t>Total number of clients</t>
  </si>
  <si>
    <t xml:space="preserve">(25a) Number of cash-income sources </t>
  </si>
  <si>
    <t>No cash-income sources</t>
  </si>
  <si>
    <t>Receives at least 1 cash-income source</t>
  </si>
  <si>
    <t>(25b) Types of cash-income sources</t>
  </si>
  <si>
    <t>Earned income (i.e., employment income)</t>
  </si>
  <si>
    <t>Unemployment insurance</t>
  </si>
  <si>
    <t>Veteran’s disability</t>
  </si>
  <si>
    <t>Private disability insurance</t>
  </si>
  <si>
    <t>Worker’s compensation</t>
  </si>
  <si>
    <t>Temporary Assistance to Needy Families (TANF) or local equivalent</t>
  </si>
  <si>
    <t>General assistance or local equivalent</t>
  </si>
  <si>
    <t>Retirement income from Social Security</t>
  </si>
  <si>
    <t>Veteran’s pension</t>
  </si>
  <si>
    <t>Pension from former job</t>
  </si>
  <si>
    <t>J17</t>
  </si>
  <si>
    <t>K17</t>
  </si>
  <si>
    <t>Child support</t>
  </si>
  <si>
    <t>J18</t>
  </si>
  <si>
    <t>K18</t>
  </si>
  <si>
    <t>Alimony or other spousal support</t>
  </si>
  <si>
    <t>J19</t>
  </si>
  <si>
    <t>K19</t>
  </si>
  <si>
    <t>Other source</t>
  </si>
  <si>
    <t>J20</t>
  </si>
  <si>
    <t>K20</t>
  </si>
  <si>
    <t xml:space="preserve">Q26: Client Non-Cash Benefits by Exit Status </t>
  </si>
  <si>
    <t>Non-cash benefits</t>
  </si>
  <si>
    <t xml:space="preserve">Total number of clients </t>
  </si>
  <si>
    <t xml:space="preserve">(26a) Number of non-cash benefits  </t>
  </si>
  <si>
    <t>No non-cash income benefits</t>
  </si>
  <si>
    <t>Receives at least 1 non cash benefit source</t>
  </si>
  <si>
    <t>(26b) Types of non-cash benefits</t>
  </si>
  <si>
    <t>Supplemental Nutritional Assistance Program (Previously known as Food Stamps)</t>
  </si>
  <si>
    <t>MEDICAID health insurance program (or use local name)</t>
  </si>
  <si>
    <t>MEDICARE health insurance program (or use local name)</t>
  </si>
  <si>
    <t>State Children’s Health Insurance Program (or use local name)</t>
  </si>
  <si>
    <t>Special Supplemental Nutrition Program for Women, Infants, and Children (WIC)</t>
  </si>
  <si>
    <t>Veteran’s Administration (VA) Medical Services</t>
  </si>
  <si>
    <t>TANF Child Care services (or use local name)</t>
  </si>
  <si>
    <t>TANF transportation services (or use local name)</t>
  </si>
  <si>
    <t>Other TANF-funded services (or use local name)</t>
  </si>
  <si>
    <t>M14</t>
  </si>
  <si>
    <t>N14</t>
  </si>
  <si>
    <t>Temporary rental assistance</t>
  </si>
  <si>
    <t>M15</t>
  </si>
  <si>
    <t>N15</t>
  </si>
  <si>
    <t xml:space="preserve">Section 8, Public Housing, or other ongoing rental assistance </t>
  </si>
  <si>
    <t>M16</t>
  </si>
  <si>
    <t>N16</t>
  </si>
  <si>
    <t>M17</t>
  </si>
  <si>
    <t>N17</t>
  </si>
  <si>
    <t xml:space="preserve">Q27: Length of Participation by Exit Status </t>
  </si>
  <si>
    <t>Program Applicability: SHP- TH/PH, S+C, SRO, HPRP</t>
  </si>
  <si>
    <t>Length of participation</t>
  </si>
  <si>
    <t>(27a) Length of participation ranges</t>
  </si>
  <si>
    <t>Less than 30 days</t>
  </si>
  <si>
    <t>31 to 60 days</t>
  </si>
  <si>
    <t>61 to 180 days</t>
  </si>
  <si>
    <t>181 to 365 days</t>
  </si>
  <si>
    <t>366 to 730 days (1 – 2 yrs.)</t>
  </si>
  <si>
    <t>731 to 1095 days (2 – 3 yrs.)</t>
  </si>
  <si>
    <t>1096 to 1460 days (3 – 4 yrs.)</t>
  </si>
  <si>
    <t>1461 to 1825 days (4 – 5 yrs.)</t>
  </si>
  <si>
    <t>More than 1825 days (&gt;5 yrs.)</t>
  </si>
  <si>
    <t>(27b) Average and Median Length of Participation (in days)</t>
  </si>
  <si>
    <t>Average length (in days)</t>
  </si>
  <si>
    <t>Median length (in days)</t>
  </si>
  <si>
    <r>
      <t xml:space="preserve">Number of persons </t>
    </r>
    <r>
      <rPr>
        <b/>
        <u/>
        <sz val="10"/>
        <color theme="1"/>
        <rFont val="Times New Roman"/>
        <family val="1"/>
      </rPr>
      <t xml:space="preserve">who did not exit </t>
    </r>
    <r>
      <rPr>
        <b/>
        <sz val="10"/>
        <color theme="1"/>
        <rFont val="Times New Roman"/>
        <family val="1"/>
      </rPr>
      <t>the program during the operating year (i.e., “Stayers”)</t>
    </r>
  </si>
  <si>
    <r>
      <t xml:space="preserve">Number of persons </t>
    </r>
    <r>
      <rPr>
        <b/>
        <u/>
        <sz val="10"/>
        <color theme="1"/>
        <rFont val="Times New Roman"/>
        <family val="1"/>
      </rPr>
      <t>who exited</t>
    </r>
    <r>
      <rPr>
        <b/>
        <sz val="10"/>
        <color theme="1"/>
        <rFont val="Times New Roman"/>
        <family val="1"/>
      </rPr>
      <t xml:space="preserve"> the program during operating year (i.e., “Leavers”)</t>
    </r>
  </si>
  <si>
    <t>Q28: Housing Status at Entry and Exit</t>
  </si>
  <si>
    <t>Client Applicability: All Leavers Only</t>
  </si>
  <si>
    <t>Housing Status at Exit</t>
  </si>
  <si>
    <t>Don’t know/refused</t>
  </si>
  <si>
    <t xml:space="preserve">Q29: Destination by Household Type and Length of Stay </t>
  </si>
  <si>
    <r>
      <t>Client Applicability: All Leavers Only</t>
    </r>
    <r>
      <rPr>
        <b/>
        <vertAlign val="superscript"/>
        <sz val="12"/>
        <color theme="1"/>
        <rFont val="Times New Roman"/>
        <family val="1"/>
      </rPr>
      <t xml:space="preserve">            </t>
    </r>
  </si>
  <si>
    <t>Persons in households with at least one adult and one child who exited and…</t>
  </si>
  <si>
    <t>Persons in households with only children who exited and…</t>
  </si>
  <si>
    <t xml:space="preserve">…stayed </t>
  </si>
  <si>
    <t>90 days or less</t>
  </si>
  <si>
    <t>…stayed</t>
  </si>
  <si>
    <t>more than 90 days</t>
  </si>
  <si>
    <t>(29a) Permanent Destinations</t>
  </si>
  <si>
    <t>Rental by client, VASH Subsidy</t>
  </si>
  <si>
    <t>Rental by client, other (Non-VASH) ongoing housing subsidy</t>
  </si>
  <si>
    <t>Permanent supportive housing for formerly homeless persons (such as SHP, S+C, or SRO Mod Rehab)</t>
  </si>
  <si>
    <t>Staying or living with family, permanent tenure</t>
  </si>
  <si>
    <t>Staying or living with friends, permanent tenure</t>
  </si>
  <si>
    <t>(29b) Temporary Destinations</t>
  </si>
  <si>
    <t xml:space="preserve">Emergency shelter, including hotel or motel paid for with emergency shelter voucher </t>
  </si>
  <si>
    <t>Staying or living with family,  temporary tenure (e.g., room, apartment or house)</t>
  </si>
  <si>
    <t>Staying or living with friends, temporary tenure (e.g., room apartment or house)</t>
  </si>
  <si>
    <t>Place not meant for human habitation (e.g., a vehicle, an abandoned building, bus/train/subway station/airport or anywhere outside)</t>
  </si>
  <si>
    <t>(29c) Institutional Settings</t>
  </si>
  <si>
    <t>Jail, prison or juvenile detention facility</t>
  </si>
  <si>
    <t>(29d) Other Destinations</t>
  </si>
  <si>
    <t>Deceased</t>
  </si>
  <si>
    <t>Other</t>
  </si>
  <si>
    <r>
      <t xml:space="preserve"># of persons in households </t>
    </r>
    <r>
      <rPr>
        <u/>
        <sz val="8"/>
        <color theme="1"/>
        <rFont val="Times New Roman"/>
        <family val="1"/>
      </rPr>
      <t>without</t>
    </r>
    <r>
      <rPr>
        <sz val="8"/>
        <color theme="1"/>
        <rFont val="Times New Roman"/>
        <family val="1"/>
      </rPr>
      <t xml:space="preserve"> children who exited and…</t>
    </r>
  </si>
  <si>
    <r>
      <t xml:space="preserve"># of persons in households </t>
    </r>
    <r>
      <rPr>
        <u/>
        <sz val="8"/>
        <color theme="1"/>
        <rFont val="Times New Roman"/>
        <family val="1"/>
      </rPr>
      <t>with</t>
    </r>
    <r>
      <rPr>
        <sz val="8"/>
        <color theme="1"/>
        <rFont val="Times New Roman"/>
        <family val="1"/>
      </rPr>
      <t xml:space="preserve"> children</t>
    </r>
  </si>
  <si>
    <t>Q30: SHP and Cash Match Expenditures During the Operating Year</t>
  </si>
  <si>
    <t>Program Applicability: All SHP</t>
  </si>
  <si>
    <t>Expenditure Type</t>
  </si>
  <si>
    <t>SHP Funds</t>
  </si>
  <si>
    <t>Cash Match</t>
  </si>
  <si>
    <t>Match %</t>
  </si>
  <si>
    <t>Total Expenditures</t>
  </si>
  <si>
    <t>Acquisition</t>
  </si>
  <si>
    <t>(G1/F1)*100</t>
  </si>
  <si>
    <t>F1+G1</t>
  </si>
  <si>
    <t>Rehabilitation</t>
  </si>
  <si>
    <t>(G2/F2)*100</t>
  </si>
  <si>
    <t>F2+G2</t>
  </si>
  <si>
    <t>New Construction</t>
  </si>
  <si>
    <t>(G3/F3)*100</t>
  </si>
  <si>
    <t>F3+G3</t>
  </si>
  <si>
    <t>Development Costs - Subtotal</t>
  </si>
  <si>
    <t>F4=SUM(F1:F3)</t>
  </si>
  <si>
    <t>G4=SUM(G1:G3)</t>
  </si>
  <si>
    <t>(G4/F4)*100</t>
  </si>
  <si>
    <t>F4+G4</t>
  </si>
  <si>
    <t>Supportive Services</t>
  </si>
  <si>
    <t xml:space="preserve">Outreach </t>
  </si>
  <si>
    <t xml:space="preserve">Case management    </t>
  </si>
  <si>
    <t>Life skills (outside of case management)</t>
  </si>
  <si>
    <t>Alcohol and drug abuse services</t>
  </si>
  <si>
    <t>Mental health services</t>
  </si>
  <si>
    <t>AIDS-related services</t>
  </si>
  <si>
    <t>Other health care services</t>
  </si>
  <si>
    <t>Education</t>
  </si>
  <si>
    <t>Housing placement</t>
  </si>
  <si>
    <t>Employment assistance</t>
  </si>
  <si>
    <t>Child care</t>
  </si>
  <si>
    <t>Transportation</t>
  </si>
  <si>
    <t>F16</t>
  </si>
  <si>
    <t>Legal</t>
  </si>
  <si>
    <t>F17</t>
  </si>
  <si>
    <t xml:space="preserve">Other (please specify)      </t>
  </si>
  <si>
    <t>F18</t>
  </si>
  <si>
    <t>Supportive Services - Subtotal</t>
  </si>
  <si>
    <t>F19=SUM(F5:F18)</t>
  </si>
  <si>
    <t>G19 = G5</t>
  </si>
  <si>
    <t>(G19/F19)*100</t>
  </si>
  <si>
    <t>F19+G19</t>
  </si>
  <si>
    <t>Real Property Leasing</t>
  </si>
  <si>
    <t>F20</t>
  </si>
  <si>
    <t>G20</t>
  </si>
  <si>
    <t>(G20/F20)*100</t>
  </si>
  <si>
    <t>F20+G20</t>
  </si>
  <si>
    <t>Operations</t>
  </si>
  <si>
    <t>F21</t>
  </si>
  <si>
    <t>G21</t>
  </si>
  <si>
    <t>(G21/F21)*100</t>
  </si>
  <si>
    <t>F21+G21</t>
  </si>
  <si>
    <t>HMIS Activities</t>
  </si>
  <si>
    <t>F22</t>
  </si>
  <si>
    <t>G22</t>
  </si>
  <si>
    <t>(G22/F22)*100</t>
  </si>
  <si>
    <t>F22+G22</t>
  </si>
  <si>
    <t>Administration</t>
  </si>
  <si>
    <t>F23</t>
  </si>
  <si>
    <t>G23</t>
  </si>
  <si>
    <t>(G23/F23)*100</t>
  </si>
  <si>
    <t>F23+G23</t>
  </si>
  <si>
    <t>F24=SUM(F4, F19, F20:F23)</t>
  </si>
  <si>
    <t>G24=SUM(G4, G19, G20:G23)</t>
  </si>
  <si>
    <t>(G24/F24)*100</t>
  </si>
  <si>
    <t>F24+G24</t>
  </si>
  <si>
    <t>Q31: S+C and Supportive Services Match Expenditures During the Operating Year</t>
  </si>
  <si>
    <t>Program Applicability: S+C</t>
  </si>
  <si>
    <t>Expenditure Amount</t>
  </si>
  <si>
    <t>Rental Assistance</t>
  </si>
  <si>
    <t>Supportive Services Match</t>
  </si>
  <si>
    <t>H1+H2</t>
  </si>
  <si>
    <t>Q32: Value of Supportive Services Received by S+C Clients During the Operating Year</t>
  </si>
  <si>
    <t>Supportive Service Expenditure</t>
  </si>
  <si>
    <t>Value ($)</t>
  </si>
  <si>
    <t>SUM(I1:I14)</t>
  </si>
  <si>
    <t>Q33: Value of Supportive Services Received by SRO Clients During the Operating Year</t>
  </si>
  <si>
    <t>Program Applicability:  SRO</t>
  </si>
  <si>
    <t xml:space="preserve">Other (please specify) </t>
  </si>
  <si>
    <t>SUM(J1:J14)</t>
  </si>
  <si>
    <t>Q34: Percent HUD McKinney-Vento Funding</t>
  </si>
  <si>
    <t>What percentage of the project’s total budget for this operating year is represented by HUD McKinney-Vento funding?</t>
  </si>
  <si>
    <t xml:space="preserve">Q35.: Financial Information for the Homelessness Prevention and Rapid Re-housing Program </t>
  </si>
  <si>
    <t>Expenditures</t>
  </si>
  <si>
    <t>O1=K1+M1</t>
  </si>
  <si>
    <t>P1=L1+N1</t>
  </si>
  <si>
    <t>Security and utility deposits</t>
  </si>
  <si>
    <t>O2=K2+M2</t>
  </si>
  <si>
    <t>P2=L2+N2</t>
  </si>
  <si>
    <t>O3=K3+M3</t>
  </si>
  <si>
    <t>P3=L3+N3</t>
  </si>
  <si>
    <t>O4=K4+M4</t>
  </si>
  <si>
    <t>P4=L4+N4</t>
  </si>
  <si>
    <t>O5=K5+M5</t>
  </si>
  <si>
    <t>P5=L5+N5</t>
  </si>
  <si>
    <t>Other costs attributable to providing Financial Assistance</t>
  </si>
  <si>
    <t>O6=K6+M6</t>
  </si>
  <si>
    <t>P6=L6+N6</t>
  </si>
  <si>
    <t xml:space="preserve">Total Financial Assistance </t>
  </si>
  <si>
    <t>K7=SUM(K1:K6)</t>
  </si>
  <si>
    <t>L7=SUM(L1:L6)</t>
  </si>
  <si>
    <t>M7=SUM(M1:M6)</t>
  </si>
  <si>
    <t>N7=SUM(N1:N6)</t>
  </si>
  <si>
    <t>O7=K7+M7</t>
  </si>
  <si>
    <t>P7=L7+N7</t>
  </si>
  <si>
    <t>Case Management</t>
  </si>
  <si>
    <t>O8=K8+M8</t>
  </si>
  <si>
    <t>P8=L8+N8</t>
  </si>
  <si>
    <t>O9=K9+M9</t>
  </si>
  <si>
    <t>P9=L9+N9</t>
  </si>
  <si>
    <t>Housing search &amp; placement</t>
  </si>
  <si>
    <t>O10=K10+M10</t>
  </si>
  <si>
    <t>P10=L10+N10</t>
  </si>
  <si>
    <t>O11=K11+M11</t>
  </si>
  <si>
    <t>P11=L11+N11</t>
  </si>
  <si>
    <t>O12=K12+M12</t>
  </si>
  <si>
    <t>P12=L12+N12</t>
  </si>
  <si>
    <t>Other costs attributable to providing Housing Relocation &amp; Stabilization Services</t>
  </si>
  <si>
    <t>O13=K13+M12</t>
  </si>
  <si>
    <t>P13=L13+N13</t>
  </si>
  <si>
    <t>Total Housing Relocation &amp; Stabilization Services</t>
  </si>
  <si>
    <t>K14=SUM(K8:K13)</t>
  </si>
  <si>
    <t>L14=SUM(L8:L13)</t>
  </si>
  <si>
    <t>M14=SUM(M8:M13)</t>
  </si>
  <si>
    <t>N14=SUM(N8:N13)</t>
  </si>
  <si>
    <t>O14=K14+M14</t>
  </si>
  <si>
    <t>P14=L14+N14</t>
  </si>
  <si>
    <t>Total Data Collection &amp; Evaluation</t>
  </si>
  <si>
    <t>P15</t>
  </si>
  <si>
    <t>Total Administration</t>
  </si>
  <si>
    <t>O16</t>
  </si>
  <si>
    <t>P16</t>
  </si>
  <si>
    <t>K15=K7+K14</t>
  </si>
  <si>
    <t>L15=L7+L14</t>
  </si>
  <si>
    <t>M15=M7+M14</t>
  </si>
  <si>
    <t>N15=N7+N14</t>
  </si>
  <si>
    <t>O7+O14+O15+O16</t>
  </si>
  <si>
    <t>P7+P14+P15+P16</t>
  </si>
  <si>
    <t xml:space="preserve">Q36: Primary Performance Measures by Program Type </t>
  </si>
  <si>
    <t>Program Applicability: SHP (excluding HMIS-dedicated projects), S+C, SRO, HPRP</t>
  </si>
  <si>
    <t>Selection</t>
  </si>
  <si>
    <t>Domain</t>
  </si>
  <si>
    <t>Performance measure</t>
  </si>
  <si>
    <t># of persons who accomplished outcome</t>
  </si>
  <si>
    <t>Total # of persons in the program for whom the measure is appropriate</t>
  </si>
  <si>
    <t>Actual outcome result</t>
  </si>
  <si>
    <t>(%)</t>
  </si>
  <si>
    <t>Benchmark set on application</t>
  </si>
  <si>
    <t>Percentage-point difference</t>
  </si>
  <si>
    <t>(36a) Permanent housing programs</t>
  </si>
  <si>
    <t>Required</t>
  </si>
  <si>
    <t>Housing stability</t>
  </si>
  <si>
    <t>The % of persons who remained in the permanent housing program as of the end of the operating year or exited to permanent housing (subsidized or unsubsidized).</t>
  </si>
  <si>
    <t>Total # of persons served during operating year</t>
  </si>
  <si>
    <t>R1=(P1/Q1)*100</t>
  </si>
  <si>
    <t>R1-S1</t>
  </si>
  <si>
    <t>Required: Choose one</t>
  </si>
  <si>
    <t>Increase income</t>
  </si>
  <si>
    <t>The % of persons age 18 and older who maintained or increased their total income (from all sources) as the end of the operating year or program exit.</t>
  </si>
  <si>
    <t>Total # of persons age 18 or older served during operating year</t>
  </si>
  <si>
    <t>(Q2=SUM(Question16.E4:Question16.E9))</t>
  </si>
  <si>
    <t>R2=(P2/Q2)*100</t>
  </si>
  <si>
    <t>R2-S2</t>
  </si>
  <si>
    <t>The % of persons age 18 through 61 who maintained or increased their earned income as of the end of the operating year or program exit.</t>
  </si>
  <si>
    <t>Total # of persons age 18 through 61 years served during operating year</t>
  </si>
  <si>
    <t>(Q3=SUM(Question16.E4:Question16.E8))</t>
  </si>
  <si>
    <t>R3=(P3/Q3)*100</t>
  </si>
  <si>
    <t>R3-S3</t>
  </si>
  <si>
    <t xml:space="preserve">(36b) Transitional housing programs </t>
  </si>
  <si>
    <t>The % of persons who exited to permanent housing (subsidized or unsubsidized) during the operating year.</t>
  </si>
  <si>
    <t>Total # of persons who exited during operating year</t>
  </si>
  <si>
    <t>(Q4=Question22a.G8)</t>
  </si>
  <si>
    <t>R4=(P4/Q4)*100</t>
  </si>
  <si>
    <t>R4-S4</t>
  </si>
  <si>
    <t>The % of persons age 18 or older who increased their total income (from all sources) as of the end of the operating year or program exit.</t>
  </si>
  <si>
    <t>(Q5=SUM(Question16.E4:Question16.E9))</t>
  </si>
  <si>
    <t>R5=(P5/Q5)*100</t>
  </si>
  <si>
    <t>R5-S5</t>
  </si>
  <si>
    <t>The % of persons age 18 through 61 who increased their earned income as of the end of the operating year or program exit.</t>
  </si>
  <si>
    <t>(Q6=SUM(Question16.E4:Question16.E8))</t>
  </si>
  <si>
    <t>R6=(P6/Q6)*100</t>
  </si>
  <si>
    <t>R6-S6</t>
  </si>
  <si>
    <t>Q36: Primary Performance Measures by Program Type (HMIS-dedicated projects are excluded)</t>
  </si>
  <si>
    <t>Program Applicability: SHP (excluding HMIS-dedicated projects) S+C, SRO, HPRP</t>
  </si>
  <si>
    <t>(36c) Street Outreach Programs</t>
  </si>
  <si>
    <t>The % of persons placed into housing (ES, TH, SH, or PSH) as a result of the street outreach program during the operating year.</t>
  </si>
  <si>
    <t>Total # of persons contacted during the operating year</t>
  </si>
  <si>
    <t>(Q7= Question12a.P5 + Qestion12a.Q5+ Question12a.R5</t>
  </si>
  <si>
    <t>R7=(P7/Q7)*100</t>
  </si>
  <si>
    <t>R7-S7</t>
  </si>
  <si>
    <t>Required:  Choose at least one</t>
  </si>
  <si>
    <t>Service Linkage:</t>
  </si>
  <si>
    <t>Physical Disability</t>
  </si>
  <si>
    <t>Among persons who entered with an unmet service need associated with a physical disability, the % of these persons who received services for that condition by the time they exited.</t>
  </si>
  <si>
    <t>Total # of persons who entered with a service need for a physical disability and exited during the operating year.</t>
  </si>
  <si>
    <t>(Q8)</t>
  </si>
  <si>
    <t>R8=(P8/Q8)*100</t>
  </si>
  <si>
    <t>R8-S8</t>
  </si>
  <si>
    <t>Developmental Disability</t>
  </si>
  <si>
    <t>Among persons who entered with an unmet service need associated with a developmental disability, the % of these persons who received services for that condition by the time they exited.</t>
  </si>
  <si>
    <t>Total # of persons who entered with a service need for a developmental disability and exited during the operating year.</t>
  </si>
  <si>
    <t>(Q9)</t>
  </si>
  <si>
    <t>R9=(P9/Q9)*100</t>
  </si>
  <si>
    <t>R9-S9</t>
  </si>
  <si>
    <t>Chronic Health</t>
  </si>
  <si>
    <t>Among persons who entered with an unmet service need associated with a chronic health condition, the % of these adults who received services for that condition by the time they exited.</t>
  </si>
  <si>
    <t>Total # of persons who entered with a service need for a chronic health condition and exited during the operating year.</t>
  </si>
  <si>
    <t>(Q10)</t>
  </si>
  <si>
    <t>R10=(P10/Q10)*100</t>
  </si>
  <si>
    <t>R10-S10</t>
  </si>
  <si>
    <t>HIV/AIDS</t>
  </si>
  <si>
    <t>Among persons who entered with an unmet service need associated with HIV/AIDS, the % of these adults who received services for that condition by the time they exited.</t>
  </si>
  <si>
    <t>Total # of persons who entered with a service need for HIV/AIDS and exited during the operating year.</t>
  </si>
  <si>
    <t>(Q11)</t>
  </si>
  <si>
    <t>R11=(P11/Q11)*100</t>
  </si>
  <si>
    <t>R11-S11</t>
  </si>
  <si>
    <t>Mental Health</t>
  </si>
  <si>
    <t>Among persons who entered with an unmet service need associated with a mental health condition, the % of these persons who received services for that condition by the time they exited.</t>
  </si>
  <si>
    <t>Total # of persons who entered with a service need for a mental health condition and exited during the operating year.</t>
  </si>
  <si>
    <t>(Q12)</t>
  </si>
  <si>
    <t>R12=(P12/Q12)*100</t>
  </si>
  <si>
    <t>R12-S12</t>
  </si>
  <si>
    <t>Substance Abuse</t>
  </si>
  <si>
    <t>Among persons who entered with an unmet service need associated with a substance abuse, the % of these persons who received services for that condition by the time they exited.</t>
  </si>
  <si>
    <t>Total # of persons who entered with a service need for a substance abuse and exited during the operating year.</t>
  </si>
  <si>
    <t>(Q13)</t>
  </si>
  <si>
    <t>R13=(P13/Q13)*100</t>
  </si>
  <si>
    <t>R13-S13</t>
  </si>
  <si>
    <t>Performance Measure</t>
  </si>
  <si>
    <r>
      <t xml:space="preserve">(36d) Supportive Service Only (SSO) Programs </t>
    </r>
    <r>
      <rPr>
        <b/>
        <u/>
        <sz val="9"/>
        <color theme="1"/>
        <rFont val="Times New Roman"/>
        <family val="1"/>
      </rPr>
      <t>with</t>
    </r>
    <r>
      <rPr>
        <b/>
        <sz val="9"/>
        <color theme="1"/>
        <rFont val="Times New Roman"/>
        <family val="1"/>
      </rPr>
      <t xml:space="preserve"> a Housing Goal  (Excluding street outreach programs)</t>
    </r>
  </si>
  <si>
    <t>P14</t>
  </si>
  <si>
    <t>(Q14=Question22a.G8)</t>
  </si>
  <si>
    <t>R14=(P14/Q14)*100</t>
  </si>
  <si>
    <t>S14</t>
  </si>
  <si>
    <t>R14-S14</t>
  </si>
  <si>
    <t>Total # of persons age 18  or older served during operating year</t>
  </si>
  <si>
    <t>(Q15= SUM(Question16.E4:Question16.E9))</t>
  </si>
  <si>
    <t>R15=(P15/Q15)*100</t>
  </si>
  <si>
    <t>S15</t>
  </si>
  <si>
    <t>R15-S15</t>
  </si>
  <si>
    <t>(Q16= SUM(Question16.E4:Question16.E8))</t>
  </si>
  <si>
    <t>R16=(P16/Q16)*100</t>
  </si>
  <si>
    <t>S16</t>
  </si>
  <si>
    <t>R16-S16</t>
  </si>
  <si>
    <t>(36e) Safe Havens</t>
  </si>
  <si>
    <t>The % of persons who remained in Safe Havens housing as of the end of the operating year or exited to permanent housing (subsidized or unsubsidized).</t>
  </si>
  <si>
    <t>P17</t>
  </si>
  <si>
    <r>
      <t>(Q17=</t>
    </r>
    <r>
      <rPr>
        <sz val="10"/>
        <color theme="1"/>
        <rFont val="Times New Roman"/>
        <family val="1"/>
      </rPr>
      <t xml:space="preserve"> Question8.H5</t>
    </r>
    <r>
      <rPr>
        <sz val="9"/>
        <color theme="1"/>
        <rFont val="Times New Roman"/>
        <family val="1"/>
      </rPr>
      <t>)</t>
    </r>
  </si>
  <si>
    <t>R17=(P17/Q17)*100</t>
  </si>
  <si>
    <t>S17</t>
  </si>
  <si>
    <t>R17-S17</t>
  </si>
  <si>
    <t>The % of persons age 18 or older who maintained or increased their total income (from all sources) as of the end of the operating year or program exit.</t>
  </si>
  <si>
    <t>P18</t>
  </si>
  <si>
    <t>(Q18=SUM(Question16.E4:Question16.E9))</t>
  </si>
  <si>
    <t>R18=(P18/Q18)*100</t>
  </si>
  <si>
    <t>S18</t>
  </si>
  <si>
    <t>R18-S18</t>
  </si>
  <si>
    <t xml:space="preserve">(36f) Homelessness Prevention and Rapid Re-housing (HPRP) </t>
  </si>
  <si>
    <t>The % of homelessness prevention program participants who remained in permanent housing (subsidized or unsubsidized) during the operating year.</t>
  </si>
  <si>
    <t>P19</t>
  </si>
  <si>
    <t>Total # of persons who participated during operating year</t>
  </si>
  <si>
    <t>R19=(P19/Q19)*100</t>
  </si>
  <si>
    <t>S19</t>
  </si>
  <si>
    <t>R19-S19</t>
  </si>
  <si>
    <t>The % of homeless assistance program participants who moved to permanent housing (subsidized or unsubsidized) during the operating year.</t>
  </si>
  <si>
    <t>P20</t>
  </si>
  <si>
    <t>R20=(P20Q20)*100</t>
  </si>
  <si>
    <t>S20</t>
  </si>
  <si>
    <t>R20-S20</t>
  </si>
  <si>
    <t xml:space="preserve">The % of persons age 18 or older who increased their total income (from all sources) as of the end of the operating year or program exit who participated longer than 90 days. </t>
  </si>
  <si>
    <t>P21</t>
  </si>
  <si>
    <t>Total # persons age 18 or older served during operating year who participated longer than 90 days</t>
  </si>
  <si>
    <t>(Q21)</t>
  </si>
  <si>
    <t>R21=(P21/Q21)*100</t>
  </si>
  <si>
    <t>S21</t>
  </si>
  <si>
    <t>R21-S21</t>
  </si>
  <si>
    <t>The % of persons age 18 through 62 who increased their earned income as of the end of the operating year or program exit who participated longer than 90 days.</t>
  </si>
  <si>
    <t>P22</t>
  </si>
  <si>
    <t>Total # persons age 18 through 62 years served during operating year who participated longer than 90 days.</t>
  </si>
  <si>
    <t>(Q22)</t>
  </si>
  <si>
    <t>R22=(P22/Q22)</t>
  </si>
  <si>
    <t>S22</t>
  </si>
  <si>
    <t>R22-S22</t>
  </si>
  <si>
    <t>Housing stability: Homeless Prevention</t>
  </si>
  <si>
    <t>Housing
Stability: Homeless Assistance</t>
  </si>
  <si>
    <t>(Q19= Question14.W0))</t>
  </si>
  <si>
    <t>(Q20= Question14.AA0))</t>
  </si>
  <si>
    <t>(Q1= Question8.H5)</t>
  </si>
  <si>
    <t>Benchmark set on application(%)</t>
  </si>
  <si>
    <t>Actual outcome result  (%)</t>
  </si>
  <si>
    <t xml:space="preserve">Q37: Program-Defined Performance Measures </t>
  </si>
  <si>
    <r>
      <t xml:space="preserve">Program Applicability: </t>
    </r>
    <r>
      <rPr>
        <i/>
        <sz val="11"/>
        <color theme="1"/>
        <rFont val="Times New Roman"/>
        <family val="1"/>
      </rPr>
      <t xml:space="preserve">SHP, S+C, SRO; At least one measure mandatory for SHP- SSO projects without a Housing Goal; optional for all others  </t>
    </r>
  </si>
  <si>
    <t>Outcome measure</t>
  </si>
  <si>
    <t xml:space="preserve"># of persons who accomplished outcome </t>
  </si>
  <si>
    <t xml:space="preserve">Outcome measure </t>
  </si>
  <si>
    <t>Percentage point difference</t>
  </si>
  <si>
    <t>Measure #1: [Identify Domain]</t>
  </si>
  <si>
    <t>(Please define your own measure)</t>
  </si>
  <si>
    <t>P23</t>
  </si>
  <si>
    <t>Q23</t>
  </si>
  <si>
    <t>R23=(P23/Q23)*100</t>
  </si>
  <si>
    <t>S23</t>
  </si>
  <si>
    <t>R23-S23</t>
  </si>
  <si>
    <t>Measure #2: [Identify Domain]</t>
  </si>
  <si>
    <t>P24</t>
  </si>
  <si>
    <t>Q24</t>
  </si>
  <si>
    <t>R24=(P24/Q24)*100</t>
  </si>
  <si>
    <t>S24</t>
  </si>
  <si>
    <t>R24-S24</t>
  </si>
  <si>
    <t>Measure #3: [Identify Domain]</t>
  </si>
  <si>
    <t>P25</t>
  </si>
  <si>
    <t>Q25</t>
  </si>
  <si>
    <t>R25=(P25/Q25)*100</t>
  </si>
  <si>
    <t>S25</t>
  </si>
  <si>
    <t>R25-S25</t>
  </si>
  <si>
    <t xml:space="preserve">Q38: Description of the Program-Defined Performance Measure(s) </t>
  </si>
  <si>
    <r>
      <t xml:space="preserve">Program Applicability: </t>
    </r>
    <r>
      <rPr>
        <b/>
        <i/>
        <sz val="11"/>
        <color theme="1"/>
        <rFont val="Times New Roman"/>
        <family val="1"/>
      </rPr>
      <t xml:space="preserve"> </t>
    </r>
    <r>
      <rPr>
        <i/>
        <sz val="11"/>
        <color theme="1"/>
        <rFont val="Times New Roman"/>
        <family val="1"/>
      </rPr>
      <t>All SHP, S+C, SRO; Any program that reported  Program-Defined Performance  Measure(s), including all  SHP- SSO projects without a Housing Goal, must complete this question</t>
    </r>
  </si>
  <si>
    <t>(38a) Measure 1</t>
  </si>
  <si>
    <t>Data source and method of data collection for program-defined performance measure:</t>
  </si>
  <si>
    <t>Data elements and formula for calculating the program-defined performance measure:</t>
  </si>
  <si>
    <t>Use of the program-defined performance measure:</t>
  </si>
  <si>
    <t>(38b) Measure 2</t>
  </si>
  <si>
    <t>(38c) Measure 3</t>
  </si>
  <si>
    <t xml:space="preserve">Q39: Explanation of Variance(s) Between Planned and Actual Performance </t>
  </si>
  <si>
    <t>Please explain any percentage-point difference of 10% or greater between the benchmarks and actual results for each measure reported on in questions 36 or 37.  For example, describe any problems or issues during the operating year that may have affected your performance.</t>
  </si>
  <si>
    <t>Explanation</t>
  </si>
  <si>
    <t>(Automated from Q.36 and 37)</t>
  </si>
  <si>
    <t>Grantee Official Initials</t>
  </si>
  <si>
    <t>Sponsor Official Initials</t>
  </si>
  <si>
    <t>MDS</t>
  </si>
  <si>
    <t>EJK</t>
  </si>
  <si>
    <t>(3bi)    List Components or Types</t>
  </si>
  <si>
    <t>(3bii) Are project activities related to a housing goal?</t>
  </si>
  <si>
    <t>(3biii) If HPRP is selected, what is the grantee type?</t>
  </si>
  <si>
    <t>State</t>
  </si>
  <si>
    <t>County</t>
  </si>
  <si>
    <t>City</t>
  </si>
  <si>
    <t>Territory</t>
  </si>
  <si>
    <t>Picklist?</t>
  </si>
  <si>
    <t xml:space="preserve">Explain any changes made in this section from the 
information provided in the Application.
</t>
  </si>
  <si>
    <t>Identify the site type for the principal service site.</t>
  </si>
  <si>
    <t>Identify the program site configuration type.</t>
  </si>
  <si>
    <t>NOTES</t>
  </si>
  <si>
    <t xml:space="preserve">Need to unlock cells </t>
  </si>
  <si>
    <t>NOTE: Section 4 is not pulled from HMIS!  Format cells and do not lock them.</t>
  </si>
  <si>
    <t>See logic used for AHAR</t>
  </si>
  <si>
    <t>Outreach &amp; engagement</t>
  </si>
  <si>
    <t xml:space="preserve">Security/Utility deposits </t>
  </si>
  <si>
    <t>Housing search/placement</t>
  </si>
  <si>
    <t>Op. Year</t>
  </si>
  <si>
    <t>Yes-Samaritan Housing Bonus</t>
  </si>
  <si>
    <t>Yes-Permanent Housing Bonus</t>
  </si>
  <si>
    <t>Yes-Other</t>
  </si>
  <si>
    <t>Yes-Rapid Re-housing Demonstration</t>
  </si>
  <si>
    <t>DV</t>
  </si>
  <si>
    <t>VET</t>
  </si>
  <si>
    <t>HIV</t>
  </si>
  <si>
    <t>SHP</t>
  </si>
  <si>
    <t>SRO</t>
  </si>
  <si>
    <t>HPRP</t>
  </si>
  <si>
    <t>S+C</t>
  </si>
  <si>
    <r>
      <t>1.</t>
    </r>
    <r>
      <rPr>
        <sz val="7"/>
        <color theme="1"/>
        <rFont val="Times New Roman"/>
        <family val="1"/>
      </rPr>
      <t xml:space="preserve">  </t>
    </r>
    <r>
      <rPr>
        <sz val="10"/>
        <color theme="1"/>
        <rFont val="Times New Roman"/>
        <family val="1"/>
      </rPr>
      <t xml:space="preserve">Single site, single building.  </t>
    </r>
  </si>
  <si>
    <r>
      <t>2.</t>
    </r>
    <r>
      <rPr>
        <sz val="7"/>
        <color theme="1"/>
        <rFont val="Times New Roman"/>
        <family val="1"/>
      </rPr>
      <t xml:space="preserve">  </t>
    </r>
    <r>
      <rPr>
        <sz val="10"/>
        <color theme="1"/>
        <rFont val="Times New Roman"/>
        <family val="1"/>
      </rPr>
      <t xml:space="preserve">Single site, multiple buildings.  </t>
    </r>
  </si>
  <si>
    <r>
      <t>3.</t>
    </r>
    <r>
      <rPr>
        <sz val="7"/>
        <color theme="1"/>
        <rFont val="Times New Roman"/>
        <family val="1"/>
      </rPr>
      <t xml:space="preserve"> </t>
    </r>
    <r>
      <rPr>
        <sz val="10"/>
        <color theme="1"/>
        <rFont val="Times New Roman"/>
        <family val="1"/>
      </rPr>
      <t>Multiple sites</t>
    </r>
  </si>
  <si>
    <r>
      <t>1.</t>
    </r>
    <r>
      <rPr>
        <sz val="7"/>
        <color theme="1"/>
        <rFont val="Times New Roman"/>
        <family val="1"/>
      </rPr>
      <t xml:space="preserve">   </t>
    </r>
    <r>
      <rPr>
        <sz val="10"/>
        <color theme="1"/>
        <rFont val="Times New Roman"/>
        <family val="1"/>
      </rPr>
      <t xml:space="preserve">Non-residential: services only.  </t>
    </r>
  </si>
  <si>
    <r>
      <t>2.</t>
    </r>
    <r>
      <rPr>
        <sz val="7"/>
        <color theme="1"/>
        <rFont val="Times New Roman"/>
        <family val="1"/>
      </rPr>
      <t xml:space="preserve">   </t>
    </r>
    <r>
      <rPr>
        <sz val="10"/>
        <color theme="1"/>
        <rFont val="Times New Roman"/>
        <family val="1"/>
      </rPr>
      <t xml:space="preserve">Residential: special needs and non-special needs.  </t>
    </r>
  </si>
  <si>
    <r>
      <t>3.</t>
    </r>
    <r>
      <rPr>
        <sz val="7"/>
        <color theme="1"/>
        <rFont val="Times New Roman"/>
        <family val="1"/>
      </rPr>
      <t xml:space="preserve">   </t>
    </r>
    <r>
      <rPr>
        <sz val="10"/>
        <color theme="1"/>
        <rFont val="Times New Roman"/>
        <family val="1"/>
      </rPr>
      <t xml:space="preserve">Residential: special needs only.  </t>
    </r>
  </si>
  <si>
    <r>
      <t>1.</t>
    </r>
    <r>
      <rPr>
        <sz val="7"/>
        <color theme="1"/>
        <rFont val="Times New Roman"/>
        <family val="1"/>
      </rPr>
      <t xml:space="preserve">   </t>
    </r>
    <r>
      <rPr>
        <sz val="10"/>
        <color theme="1"/>
        <rFont val="Times New Roman"/>
        <family val="1"/>
      </rPr>
      <t xml:space="preserve">Mass shelter/barracks.  </t>
    </r>
  </si>
  <si>
    <r>
      <t>2.</t>
    </r>
    <r>
      <rPr>
        <sz val="7"/>
        <color theme="1"/>
        <rFont val="Times New Roman"/>
        <family val="1"/>
      </rPr>
      <t xml:space="preserve">   </t>
    </r>
    <r>
      <rPr>
        <sz val="10"/>
        <color theme="1"/>
        <rFont val="Times New Roman"/>
        <family val="1"/>
      </rPr>
      <t xml:space="preserve">Dormitory/hotel/motel.  </t>
    </r>
  </si>
  <si>
    <r>
      <t>3.</t>
    </r>
    <r>
      <rPr>
        <sz val="7"/>
        <color theme="1"/>
        <rFont val="Times New Roman"/>
        <family val="1"/>
      </rPr>
      <t xml:space="preserve">   </t>
    </r>
    <r>
      <rPr>
        <sz val="10"/>
        <color theme="1"/>
        <rFont val="Times New Roman"/>
        <family val="1"/>
      </rPr>
      <t>Shared housing</t>
    </r>
  </si>
  <si>
    <r>
      <t>4.</t>
    </r>
    <r>
      <rPr>
        <sz val="7"/>
        <color theme="1"/>
        <rFont val="Times New Roman"/>
        <family val="1"/>
      </rPr>
      <t xml:space="preserve">   </t>
    </r>
    <r>
      <rPr>
        <sz val="10"/>
        <color theme="1"/>
        <rFont val="Times New Roman"/>
        <family val="1"/>
      </rPr>
      <t xml:space="preserve">Single Room Occupancy (SRO) units.  </t>
    </r>
  </si>
  <si>
    <r>
      <t>5.</t>
    </r>
    <r>
      <rPr>
        <sz val="7"/>
        <color theme="1"/>
        <rFont val="Times New Roman"/>
        <family val="1"/>
      </rPr>
      <t xml:space="preserve">   </t>
    </r>
    <r>
      <rPr>
        <sz val="10"/>
        <color theme="1"/>
        <rFont val="Times New Roman"/>
        <family val="1"/>
      </rPr>
      <t xml:space="preserve">Single apartment (non-SRO) units. </t>
    </r>
  </si>
  <si>
    <r>
      <t>6.</t>
    </r>
    <r>
      <rPr>
        <sz val="7"/>
        <color theme="1"/>
        <rFont val="Times New Roman"/>
        <family val="1"/>
      </rPr>
      <t xml:space="preserve">   </t>
    </r>
    <r>
      <rPr>
        <sz val="10"/>
        <color theme="1"/>
        <rFont val="Times New Roman"/>
        <family val="1"/>
      </rPr>
      <t xml:space="preserve">Single homes/townhouses/duplexes.  </t>
    </r>
  </si>
  <si>
    <r>
      <t>7.</t>
    </r>
    <r>
      <rPr>
        <sz val="7"/>
        <color theme="1"/>
        <rFont val="Times New Roman"/>
        <family val="1"/>
      </rPr>
      <t xml:space="preserve">   </t>
    </r>
    <r>
      <rPr>
        <sz val="10"/>
        <color theme="1"/>
        <rFont val="Times New Roman"/>
        <family val="1"/>
      </rPr>
      <t xml:space="preserve">Not applicable: non-residential program. </t>
    </r>
  </si>
  <si>
    <t>Don’t Know/Refused</t>
  </si>
  <si>
    <t>Unstably housed and at-risk of losing housing</t>
  </si>
  <si>
    <r>
      <t xml:space="preserve">Number of clients </t>
    </r>
    <r>
      <rPr>
        <b/>
        <u/>
        <sz val="8"/>
        <color theme="1"/>
        <rFont val="Times New Roman"/>
        <family val="1"/>
      </rPr>
      <t>who exited</t>
    </r>
    <r>
      <rPr>
        <b/>
        <sz val="8"/>
        <color theme="1"/>
        <rFont val="Times New Roman"/>
        <family val="1"/>
      </rPr>
      <t xml:space="preserve"> the program during operating year (i.e., “Leavers”)</t>
    </r>
  </si>
  <si>
    <r>
      <t xml:space="preserve">Number of clients </t>
    </r>
    <r>
      <rPr>
        <b/>
        <u/>
        <sz val="8"/>
        <color theme="1"/>
        <rFont val="Times New Roman"/>
        <family val="1"/>
      </rPr>
      <t xml:space="preserve">who did not exit </t>
    </r>
    <r>
      <rPr>
        <b/>
        <sz val="8"/>
        <color theme="1"/>
        <rFont val="Times New Roman"/>
        <family val="1"/>
      </rPr>
      <t>the program during the operating year (i.e., Stayers)</t>
    </r>
  </si>
  <si>
    <t>f</t>
  </si>
  <si>
    <t>Used count of agency IDs to determine total # of records, assumes clients filtered/subset to just active clients for reporting period.</t>
  </si>
  <si>
    <t xml:space="preserve">IGNORE THIS QUESTION - NOT HMIS!!! </t>
  </si>
  <si>
    <t>Total number of "Leavers"</t>
  </si>
  <si>
    <t>Total Number of "Stayers"</t>
  </si>
  <si>
    <t>Unknown</t>
  </si>
  <si>
    <r>
      <t xml:space="preserve">Client Applicability: All </t>
    </r>
    <r>
      <rPr>
        <b/>
        <i/>
        <sz val="11"/>
        <color indexed="10"/>
        <rFont val="Times New Roman"/>
        <family val="1"/>
      </rPr>
      <t>ADULT</t>
    </r>
    <r>
      <rPr>
        <i/>
        <sz val="11"/>
        <rFont val="Times New Roman"/>
        <family val="1"/>
      </rPr>
      <t xml:space="preserve"> </t>
    </r>
    <r>
      <rPr>
        <i/>
        <u/>
        <sz val="11"/>
        <rFont val="Times New Roman"/>
        <family val="1"/>
      </rPr>
      <t>Leavers</t>
    </r>
    <r>
      <rPr>
        <i/>
        <sz val="11"/>
        <rFont val="Times New Roman"/>
        <family val="1"/>
      </rPr>
      <t xml:space="preserve"> Only</t>
    </r>
  </si>
  <si>
    <r>
      <t xml:space="preserve">Client monthly cash-income amount </t>
    </r>
    <r>
      <rPr>
        <b/>
        <u/>
        <sz val="10"/>
        <rFont val="Times New Roman"/>
        <family val="1"/>
      </rPr>
      <t>at program entry</t>
    </r>
  </si>
  <si>
    <r>
      <t>Comparison of Client monthly cash-income amount at program entry with program e</t>
    </r>
    <r>
      <rPr>
        <b/>
        <u/>
        <sz val="10"/>
        <rFont val="Times New Roman"/>
        <family val="1"/>
      </rPr>
      <t>xit</t>
    </r>
  </si>
  <si>
    <t>Number of Adults at Entry</t>
  </si>
  <si>
    <t>Number of Adults at Exit</t>
  </si>
  <si>
    <r>
      <t xml:space="preserve">Number of Adults with </t>
    </r>
    <r>
      <rPr>
        <u/>
        <sz val="9"/>
        <rFont val="Times New Roman"/>
        <family val="1"/>
      </rPr>
      <t>Less</t>
    </r>
    <r>
      <rPr>
        <sz val="9"/>
        <rFont val="Times New Roman"/>
        <family val="1"/>
      </rPr>
      <t xml:space="preserve"> Income at Exit</t>
    </r>
  </si>
  <si>
    <r>
      <t xml:space="preserve">Number of Adults with </t>
    </r>
    <r>
      <rPr>
        <u/>
        <sz val="9"/>
        <rFont val="Times New Roman"/>
        <family val="1"/>
      </rPr>
      <t>Same</t>
    </r>
    <r>
      <rPr>
        <sz val="9"/>
        <rFont val="Times New Roman"/>
        <family val="1"/>
      </rPr>
      <t xml:space="preserve"> Income at Exit</t>
    </r>
  </si>
  <si>
    <r>
      <t xml:space="preserve">Number of Adults with </t>
    </r>
    <r>
      <rPr>
        <u/>
        <sz val="9"/>
        <rFont val="Times New Roman"/>
        <family val="1"/>
      </rPr>
      <t>More</t>
    </r>
    <r>
      <rPr>
        <sz val="9"/>
        <rFont val="Times New Roman"/>
        <family val="1"/>
      </rPr>
      <t xml:space="preserve"> Income at Exit</t>
    </r>
  </si>
  <si>
    <t>Average Change ($) in Monthly Income Per Adult</t>
  </si>
  <si>
    <t>$151 – $250</t>
  </si>
  <si>
    <t>$251 – $500</t>
  </si>
  <si>
    <r>
      <t xml:space="preserve">Client Applicability: All </t>
    </r>
    <r>
      <rPr>
        <b/>
        <i/>
        <sz val="11"/>
        <color indexed="10"/>
        <rFont val="Times New Roman"/>
        <family val="1"/>
      </rPr>
      <t>ADULT</t>
    </r>
    <r>
      <rPr>
        <i/>
        <sz val="11"/>
        <rFont val="Times New Roman"/>
        <family val="1"/>
      </rPr>
      <t xml:space="preserve"> </t>
    </r>
    <r>
      <rPr>
        <i/>
        <u/>
        <sz val="11"/>
        <rFont val="Times New Roman"/>
        <family val="1"/>
      </rPr>
      <t>Stayers</t>
    </r>
    <r>
      <rPr>
        <i/>
        <sz val="11"/>
        <rFont val="Times New Roman"/>
        <family val="1"/>
      </rPr>
      <t xml:space="preserve"> Only</t>
    </r>
  </si>
  <si>
    <r>
      <t xml:space="preserve">Comparison of Client monthly cash-income amount at program entry with income at </t>
    </r>
    <r>
      <rPr>
        <b/>
        <u/>
        <sz val="10"/>
        <rFont val="Times New Roman"/>
        <family val="1"/>
      </rPr>
      <t>most recent assessment</t>
    </r>
  </si>
  <si>
    <t>Number of Adults at Follow-up</t>
  </si>
  <si>
    <r>
      <t xml:space="preserve">Number of Adults with </t>
    </r>
    <r>
      <rPr>
        <u/>
        <sz val="9"/>
        <rFont val="Times New Roman"/>
        <family val="1"/>
      </rPr>
      <t>Less</t>
    </r>
    <r>
      <rPr>
        <sz val="9"/>
        <rFont val="Times New Roman"/>
        <family val="1"/>
      </rPr>
      <t xml:space="preserve"> Income at Follow-up</t>
    </r>
  </si>
  <si>
    <r>
      <t xml:space="preserve">Number of Adults with </t>
    </r>
    <r>
      <rPr>
        <u/>
        <sz val="9"/>
        <rFont val="Times New Roman"/>
        <family val="1"/>
      </rPr>
      <t>Same</t>
    </r>
    <r>
      <rPr>
        <sz val="9"/>
        <rFont val="Times New Roman"/>
        <family val="1"/>
      </rPr>
      <t xml:space="preserve"> Income at Follow-up</t>
    </r>
  </si>
  <si>
    <r>
      <t xml:space="preserve">Number of Adults with </t>
    </r>
    <r>
      <rPr>
        <u/>
        <sz val="9"/>
        <rFont val="Times New Roman"/>
        <family val="1"/>
      </rPr>
      <t>More</t>
    </r>
    <r>
      <rPr>
        <sz val="9"/>
        <rFont val="Times New Roman"/>
        <family val="1"/>
      </rPr>
      <t xml:space="preserve"> Income at Follow-up</t>
    </r>
  </si>
  <si>
    <t>Supplemental Security Income</t>
  </si>
  <si>
    <t>Social Security Disability Income</t>
  </si>
  <si>
    <t>Number of clients who exited the program during operating year (i.e., “Leavers”)</t>
  </si>
  <si>
    <t>Number of clients who did not exit the program during the operating year (i.e., “Stayers”)</t>
  </si>
  <si>
    <r>
      <t xml:space="preserve">Number of persons in households </t>
    </r>
    <r>
      <rPr>
        <b/>
        <u/>
        <sz val="10"/>
        <color rgb="FF000000"/>
        <rFont val="Times New Roman"/>
        <family val="1"/>
      </rPr>
      <t>without</t>
    </r>
    <r>
      <rPr>
        <b/>
        <sz val="10"/>
        <color rgb="FF000000"/>
        <rFont val="Times New Roman"/>
        <family val="1"/>
      </rPr>
      <t xml:space="preserve"> children </t>
    </r>
  </si>
  <si>
    <r>
      <t xml:space="preserve">Number of persons in households </t>
    </r>
    <r>
      <rPr>
        <b/>
        <u/>
        <sz val="10"/>
        <color rgb="FF000000"/>
        <rFont val="Times New Roman"/>
        <family val="1"/>
      </rPr>
      <t>with</t>
    </r>
    <r>
      <rPr>
        <b/>
        <sz val="10"/>
        <color rgb="FF000000"/>
        <rFont val="Times New Roman"/>
        <family val="1"/>
      </rPr>
      <t xml:space="preserve"> children </t>
    </r>
  </si>
  <si>
    <t>Adults &amp; UY</t>
  </si>
  <si>
    <t>h</t>
  </si>
  <si>
    <t>l</t>
  </si>
  <si>
    <t>k</t>
  </si>
  <si>
    <t>n</t>
  </si>
  <si>
    <t>e</t>
  </si>
  <si>
    <t>c</t>
  </si>
  <si>
    <t>j and i</t>
  </si>
  <si>
    <t>Client Fields</t>
  </si>
  <si>
    <t>Is this for current MH or HasMHProblem?</t>
  </si>
  <si>
    <t>Is this for current SA or HasSAProblem?</t>
  </si>
  <si>
    <t>Confirm that this is just for last entries or if for all episodes.</t>
  </si>
  <si>
    <t>Imminent Risk of Losing Housing</t>
  </si>
  <si>
    <t xml:space="preserve"> </t>
  </si>
  <si>
    <t>Does it have to be exact date of entry or exit?  If not, within X days?</t>
  </si>
  <si>
    <t>OPEN: Change to use name ranges for these fields, see cell reference in "Client Fields" column</t>
  </si>
  <si>
    <t>First contact was at a place not meant for human habitation</t>
  </si>
  <si>
    <t>First contact was at a housing location</t>
  </si>
  <si>
    <t>First contact place was missing</t>
  </si>
  <si>
    <t>(12a) Total persons contacted through street outreach, reported by the total number of times the person was contacted and the location of their first contact.  Count the contacts made from the date of their first contact to the date of engagement OR the end of the operating year, whichever comes first.</t>
  </si>
  <si>
    <t>First contact was at a non-housing service site</t>
  </si>
  <si>
    <t>Engaged after 10 or more contacts?</t>
  </si>
  <si>
    <t>Engaged after 6-9 contacts?</t>
  </si>
  <si>
    <t>Engaged after 2-5 contacts?</t>
  </si>
  <si>
    <t>Engaged after 1 contact?</t>
  </si>
  <si>
    <t>OPEN - add formulas for first contact at non-housing location</t>
  </si>
  <si>
    <t>Uses the income/non-cash received in last 30 days = 8 or 9.</t>
  </si>
  <si>
    <t>Confirm that this is for last episode only.</t>
  </si>
  <si>
    <t xml:space="preserve">How do these program types match up with the program type codes from the HUD standards? Some are listed differently, for example where does street outreach fall (SHP -SSO?)?  </t>
  </si>
  <si>
    <t>Check if both DOB and DOB quality code are blank?</t>
  </si>
  <si>
    <t>Check if DOB quality code is 8 or 9.</t>
  </si>
  <si>
    <t xml:space="preserve">Do the PIT counts all fall within the APR reporting period?  What if APR year starts in June?  </t>
  </si>
  <si>
    <t>Do we count all in a household or per client contact?</t>
  </si>
  <si>
    <t>Does an engagement count as a contact? Are they to be recorded separetely or does it imply contact?</t>
  </si>
  <si>
    <t>If an engagement is not a contact then replace formula in prep tool with =IF(AND(D2=3,R2=0),IF(EXACT(Y2,Y1),Z1+1,1),0)</t>
  </si>
  <si>
    <t>Can clients have multiple engagements?</t>
  </si>
  <si>
    <t>If engaged is first record then there either needs to be engaged after 0 contacts or rule that an engagement counts as a contact.</t>
  </si>
  <si>
    <t>NumberOfContacts2,"&gt;=2",NumberOfContacts2,"&lt;=5"</t>
  </si>
  <si>
    <t>What if client is engaged more than once (as with client 66901 and 66179)?  Is this allowable?</t>
  </si>
  <si>
    <t>What if 1st record is for an engagement? Is that one contact or zero?  Most records from TPL have engagement first so # of contacts = 0.</t>
  </si>
  <si>
    <t>Is Grant Start Date to be passed as a separate reporting parameter or just include all records?</t>
  </si>
</sst>
</file>

<file path=xl/styles.xml><?xml version="1.0" encoding="utf-8"?>
<styleSheet xmlns="http://schemas.openxmlformats.org/spreadsheetml/2006/main">
  <numFmts count="3">
    <numFmt numFmtId="164" formatCode="m/d/yyyy;@"/>
    <numFmt numFmtId="165" formatCode="0.0%"/>
    <numFmt numFmtId="166" formatCode="0.0"/>
  </numFmts>
  <fonts count="53">
    <font>
      <sz val="11"/>
      <color theme="1"/>
      <name val="Calibri"/>
      <family val="2"/>
      <scheme val="minor"/>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color theme="1"/>
      <name val="Times New Roman"/>
      <family val="1"/>
    </font>
    <font>
      <b/>
      <i/>
      <sz val="10"/>
      <color theme="1"/>
      <name val="Times New Roman"/>
      <family val="1"/>
    </font>
    <font>
      <b/>
      <sz val="8"/>
      <color theme="1"/>
      <name val="Times New Roman"/>
      <family val="1"/>
    </font>
    <font>
      <b/>
      <u/>
      <sz val="10"/>
      <color theme="1"/>
      <name val="Times New Roman"/>
      <family val="1"/>
    </font>
    <font>
      <i/>
      <sz val="10"/>
      <color theme="1"/>
      <name val="Times New Roman"/>
      <family val="1"/>
    </font>
    <font>
      <u/>
      <sz val="11"/>
      <color theme="10"/>
      <name val="Calibri"/>
      <family val="2"/>
    </font>
    <font>
      <sz val="9"/>
      <color theme="1"/>
      <name val="Times New Roman"/>
      <family val="1"/>
    </font>
    <font>
      <sz val="8"/>
      <color theme="1"/>
      <name val="Times New Roman"/>
      <family val="1"/>
    </font>
    <font>
      <sz val="18"/>
      <color theme="1"/>
      <name val="Times New Roman"/>
      <family val="1"/>
    </font>
    <font>
      <b/>
      <u/>
      <sz val="8"/>
      <color theme="1"/>
      <name val="Times New Roman"/>
      <family val="1"/>
    </font>
    <font>
      <sz val="6.5"/>
      <color theme="1"/>
      <name val="Times New Roman"/>
      <family val="1"/>
    </font>
    <font>
      <sz val="6"/>
      <color theme="1"/>
      <name val="Times New Roman"/>
      <family val="1"/>
    </font>
    <font>
      <b/>
      <vertAlign val="superscript"/>
      <sz val="12"/>
      <color theme="1"/>
      <name val="Times New Roman"/>
      <family val="1"/>
    </font>
    <font>
      <u/>
      <sz val="8"/>
      <color theme="1"/>
      <name val="Times New Roman"/>
      <family val="1"/>
    </font>
    <font>
      <b/>
      <sz val="12"/>
      <color theme="1"/>
      <name val="Times New Roman"/>
      <family val="1"/>
    </font>
    <font>
      <sz val="10"/>
      <color rgb="FF000000"/>
      <name val="Times New Roman"/>
      <family val="1"/>
    </font>
    <font>
      <b/>
      <sz val="9"/>
      <color theme="1"/>
      <name val="Times New Roman"/>
      <family val="1"/>
    </font>
    <font>
      <b/>
      <u/>
      <sz val="9"/>
      <color theme="1"/>
      <name val="Times New Roman"/>
      <family val="1"/>
    </font>
    <font>
      <sz val="6"/>
      <color theme="1"/>
      <name val="Calibri"/>
      <family val="2"/>
      <scheme val="minor"/>
    </font>
    <font>
      <sz val="8"/>
      <color theme="1"/>
      <name val="Calibri"/>
      <family val="2"/>
      <scheme val="minor"/>
    </font>
    <font>
      <b/>
      <i/>
      <sz val="11"/>
      <color theme="1"/>
      <name val="Times New Roman"/>
      <family val="1"/>
    </font>
    <font>
      <sz val="11"/>
      <color rgb="FFFF0000"/>
      <name val="Calibri"/>
      <family val="2"/>
      <scheme val="minor"/>
    </font>
    <font>
      <sz val="7"/>
      <color theme="1"/>
      <name val="Times New Roman"/>
      <family val="1"/>
    </font>
    <font>
      <sz val="9"/>
      <color indexed="81"/>
      <name val="Tahoma"/>
      <family val="2"/>
    </font>
    <font>
      <b/>
      <sz val="9"/>
      <color indexed="81"/>
      <name val="Tahoma"/>
      <family val="2"/>
    </font>
    <font>
      <sz val="11"/>
      <color theme="1"/>
      <name val="Calibri"/>
      <family val="2"/>
      <scheme val="minor"/>
    </font>
    <font>
      <sz val="10"/>
      <name val="Times New Roman"/>
      <family val="1"/>
    </font>
    <font>
      <b/>
      <sz val="11"/>
      <color rgb="FFFF0000"/>
      <name val="Calibri"/>
      <family val="2"/>
      <scheme val="minor"/>
    </font>
    <font>
      <sz val="10"/>
      <name val="Arial"/>
      <family val="2"/>
    </font>
    <font>
      <b/>
      <sz val="11"/>
      <name val="Times New Roman"/>
      <family val="1"/>
    </font>
    <font>
      <i/>
      <sz val="11"/>
      <name val="Times New Roman"/>
      <family val="1"/>
    </font>
    <font>
      <i/>
      <u/>
      <sz val="11"/>
      <name val="Times New Roman"/>
      <family val="1"/>
    </font>
    <font>
      <b/>
      <u/>
      <sz val="10"/>
      <name val="Times New Roman"/>
      <family val="1"/>
    </font>
    <font>
      <b/>
      <sz val="10"/>
      <name val="Times New Roman"/>
      <family val="1"/>
    </font>
    <font>
      <sz val="9"/>
      <name val="Times New Roman"/>
      <family val="1"/>
    </font>
    <font>
      <u/>
      <sz val="9"/>
      <name val="Times New Roman"/>
      <family val="1"/>
    </font>
    <font>
      <b/>
      <i/>
      <sz val="11"/>
      <color indexed="10"/>
      <name val="Times New Roman"/>
      <family val="1"/>
    </font>
    <font>
      <b/>
      <sz val="11"/>
      <color rgb="FF000000"/>
      <name val="Times New Roman"/>
      <family val="1"/>
    </font>
    <font>
      <i/>
      <sz val="11"/>
      <color rgb="FF000000"/>
      <name val="Times New Roman"/>
      <family val="1"/>
    </font>
    <font>
      <b/>
      <sz val="10"/>
      <color rgb="FF000000"/>
      <name val="Times New Roman"/>
      <family val="1"/>
    </font>
    <font>
      <b/>
      <u/>
      <sz val="10"/>
      <color rgb="FF000000"/>
      <name val="Times New Roman"/>
      <family val="1"/>
    </font>
    <font>
      <sz val="8"/>
      <color rgb="FF000000"/>
      <name val="Times New Roman"/>
      <family val="1"/>
    </font>
    <font>
      <b/>
      <sz val="16"/>
      <color rgb="FF000000"/>
      <name val="Times New Roman"/>
      <family val="1"/>
    </font>
    <font>
      <b/>
      <sz val="9"/>
      <color rgb="FF000000"/>
      <name val="Tahoma"/>
      <family val="2"/>
    </font>
    <font>
      <sz val="9"/>
      <color rgb="FF000000"/>
      <name val="Tahoma"/>
      <family val="2"/>
    </font>
    <font>
      <b/>
      <sz val="10"/>
      <name val="Arial"/>
      <family val="2"/>
    </font>
    <font>
      <b/>
      <sz val="10"/>
      <color rgb="FFFF0000"/>
      <name val="Arial"/>
      <family val="2"/>
    </font>
    <font>
      <b/>
      <sz val="11"/>
      <color theme="1"/>
      <name val="Calibri"/>
      <family val="2"/>
      <scheme val="minor"/>
    </font>
  </fonts>
  <fills count="18">
    <fill>
      <patternFill patternType="none"/>
    </fill>
    <fill>
      <patternFill patternType="gray125"/>
    </fill>
    <fill>
      <patternFill patternType="solid">
        <fgColor rgb="FFFFCC99"/>
        <bgColor indexed="64"/>
      </patternFill>
    </fill>
    <fill>
      <patternFill patternType="solid">
        <fgColor rgb="FFCCCCCC"/>
        <bgColor indexed="64"/>
      </patternFill>
    </fill>
    <fill>
      <patternFill patternType="solid">
        <fgColor rgb="FFFFFFFF"/>
        <bgColor indexed="64"/>
      </patternFill>
    </fill>
    <fill>
      <patternFill patternType="solid">
        <fgColor rgb="FFFFFF99"/>
        <bgColor indexed="64"/>
      </patternFill>
    </fill>
    <fill>
      <patternFill patternType="solid">
        <fgColor rgb="FF000000"/>
        <bgColor indexed="64"/>
      </patternFill>
    </fill>
    <fill>
      <patternFill patternType="solid">
        <fgColor rgb="FFC0C0C0"/>
        <bgColor indexed="64"/>
      </patternFill>
    </fill>
    <fill>
      <patternFill patternType="solid">
        <fgColor rgb="FF333333"/>
        <bgColor indexed="64"/>
      </patternFill>
    </fill>
    <fill>
      <patternFill patternType="solid">
        <fgColor theme="1" tint="0.499984740745262"/>
        <bgColor indexed="64"/>
      </patternFill>
    </fill>
    <fill>
      <patternFill patternType="solid">
        <fgColor rgb="FFE0E0E0"/>
        <bgColor indexed="64"/>
      </patternFill>
    </fill>
    <fill>
      <patternFill patternType="solid">
        <fgColor theme="0" tint="-0.14999847407452621"/>
        <bgColor indexed="64"/>
      </patternFill>
    </fill>
    <fill>
      <patternFill patternType="solid">
        <fgColor indexed="22"/>
        <bgColor indexed="64"/>
      </patternFill>
    </fill>
    <fill>
      <patternFill patternType="solid">
        <fgColor indexed="63"/>
        <bgColor indexed="64"/>
      </patternFill>
    </fill>
    <fill>
      <patternFill patternType="solid">
        <fgColor indexed="47"/>
        <bgColor indexed="64"/>
      </patternFill>
    </fill>
    <fill>
      <patternFill patternType="solid">
        <fgColor rgb="FFFFCC99"/>
        <bgColor rgb="FF000000"/>
      </patternFill>
    </fill>
    <fill>
      <patternFill patternType="solid">
        <fgColor rgb="FFCCCCCC"/>
        <bgColor rgb="FF000000"/>
      </patternFill>
    </fill>
    <fill>
      <patternFill patternType="solid">
        <fgColor rgb="FF808080"/>
        <bgColor rgb="FF000000"/>
      </patternFill>
    </fill>
  </fills>
  <borders count="142">
    <border>
      <left/>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medium">
        <color auto="1"/>
      </bottom>
      <diagonal/>
    </border>
    <border>
      <left/>
      <right style="thick">
        <color auto="1"/>
      </right>
      <top/>
      <bottom style="medium">
        <color auto="1"/>
      </bottom>
      <diagonal/>
    </border>
    <border>
      <left style="thin">
        <color auto="1"/>
      </left>
      <right style="thin">
        <color auto="1"/>
      </right>
      <top/>
      <bottom style="thin">
        <color auto="1"/>
      </bottom>
      <diagonal/>
    </border>
    <border>
      <left/>
      <right/>
      <top style="thick">
        <color auto="1"/>
      </top>
      <bottom/>
      <diagonal/>
    </border>
    <border>
      <left/>
      <right/>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medium">
        <color auto="1"/>
      </top>
      <bottom/>
      <diagonal/>
    </border>
    <border>
      <left/>
      <right/>
      <top style="medium">
        <color auto="1"/>
      </top>
      <bottom/>
      <diagonal/>
    </border>
    <border>
      <left/>
      <right style="thick">
        <color auto="1"/>
      </right>
      <top style="medium">
        <color auto="1"/>
      </top>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
      <left/>
      <right style="thin">
        <color auto="1"/>
      </right>
      <top/>
      <bottom style="thick">
        <color auto="1"/>
      </bottom>
      <diagonal/>
    </border>
    <border>
      <left/>
      <right style="thin">
        <color auto="1"/>
      </right>
      <top style="medium">
        <color auto="1"/>
      </top>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thick">
        <color indexed="64"/>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auto="1"/>
      </right>
      <top style="thick">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medium">
        <color indexed="64"/>
      </right>
      <top/>
      <bottom/>
      <diagonal/>
    </border>
    <border>
      <left/>
      <right style="medium">
        <color rgb="FF000000"/>
      </right>
      <top style="medium">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medium">
        <color indexed="64"/>
      </right>
      <top style="medium">
        <color indexed="64"/>
      </top>
      <bottom style="thick">
        <color indexed="64"/>
      </bottom>
      <diagonal/>
    </border>
    <border>
      <left style="thick">
        <color auto="1"/>
      </left>
      <right style="medium">
        <color indexed="64"/>
      </right>
      <top style="thick">
        <color indexed="64"/>
      </top>
      <bottom/>
      <diagonal/>
    </border>
    <border>
      <left style="thick">
        <color auto="1"/>
      </left>
      <right style="medium">
        <color indexed="64"/>
      </right>
      <top/>
      <bottom/>
      <diagonal/>
    </border>
    <border>
      <left/>
      <right style="thick">
        <color auto="1"/>
      </right>
      <top style="medium">
        <color auto="1"/>
      </top>
      <bottom style="medium">
        <color auto="1"/>
      </bottom>
      <diagonal/>
    </border>
    <border>
      <left style="thick">
        <color auto="1"/>
      </left>
      <right style="medium">
        <color indexed="64"/>
      </right>
      <top style="medium">
        <color indexed="64"/>
      </top>
      <bottom style="medium">
        <color indexed="64"/>
      </bottom>
      <diagonal/>
    </border>
    <border>
      <left style="medium">
        <color indexed="64"/>
      </left>
      <right style="thick">
        <color auto="1"/>
      </right>
      <top style="medium">
        <color indexed="64"/>
      </top>
      <bottom style="medium">
        <color indexed="64"/>
      </bottom>
      <diagonal/>
    </border>
    <border>
      <left style="thick">
        <color auto="1"/>
      </left>
      <right/>
      <top style="medium">
        <color auto="1"/>
      </top>
      <bottom style="medium">
        <color auto="1"/>
      </bottom>
      <diagonal/>
    </border>
    <border>
      <left style="thick">
        <color auto="1"/>
      </left>
      <right style="medium">
        <color indexed="64"/>
      </right>
      <top style="medium">
        <color indexed="64"/>
      </top>
      <bottom/>
      <diagonal/>
    </border>
    <border>
      <left style="thick">
        <color auto="1"/>
      </left>
      <right style="medium">
        <color indexed="64"/>
      </right>
      <top style="medium">
        <color indexed="64"/>
      </top>
      <bottom style="thick">
        <color auto="1"/>
      </bottom>
      <diagonal/>
    </border>
    <border>
      <left style="thick">
        <color indexed="64"/>
      </left>
      <right style="medium">
        <color indexed="64"/>
      </right>
      <top/>
      <bottom style="medium">
        <color indexed="64"/>
      </bottom>
      <diagonal/>
    </border>
    <border>
      <left style="medium">
        <color indexed="64"/>
      </left>
      <right style="thick">
        <color indexed="64"/>
      </right>
      <top style="medium">
        <color indexed="64"/>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thick">
        <color auto="1"/>
      </right>
      <top style="thick">
        <color indexed="64"/>
      </top>
      <bottom/>
      <diagonal/>
    </border>
    <border>
      <left style="medium">
        <color indexed="64"/>
      </left>
      <right style="thick">
        <color auto="1"/>
      </right>
      <top/>
      <bottom/>
      <diagonal/>
    </border>
    <border>
      <left style="medium">
        <color indexed="64"/>
      </left>
      <right style="thick">
        <color auto="1"/>
      </right>
      <top/>
      <bottom style="medium">
        <color indexed="64"/>
      </bottom>
      <diagonal/>
    </border>
    <border>
      <left style="medium">
        <color auto="1"/>
      </left>
      <right style="thick">
        <color auto="1"/>
      </right>
      <top style="medium">
        <color auto="1"/>
      </top>
      <bottom/>
      <diagonal/>
    </border>
    <border>
      <left style="medium">
        <color auto="1"/>
      </left>
      <right style="thick">
        <color auto="1"/>
      </right>
      <top/>
      <bottom style="thick">
        <color auto="1"/>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thin">
        <color auto="1"/>
      </left>
      <right/>
      <top style="medium">
        <color auto="1"/>
      </top>
      <bottom/>
      <diagonal/>
    </border>
    <border>
      <left style="thin">
        <color auto="1"/>
      </left>
      <right/>
      <top/>
      <bottom/>
      <diagonal/>
    </border>
    <border>
      <left style="thin">
        <color auto="1"/>
      </left>
      <right/>
      <top/>
      <bottom style="thick">
        <color auto="1"/>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rgb="FF000000"/>
      </left>
      <right/>
      <top style="medium">
        <color indexed="64"/>
      </top>
      <bottom style="medium">
        <color indexed="64"/>
      </bottom>
      <diagonal/>
    </border>
    <border>
      <left style="medium">
        <color indexed="64"/>
      </left>
      <right style="medium">
        <color indexed="64"/>
      </right>
      <top style="medium">
        <color rgb="FF000000"/>
      </top>
      <bottom/>
      <diagonal/>
    </border>
    <border>
      <left style="medium">
        <color indexed="64"/>
      </left>
      <right style="medium">
        <color rgb="FF000000"/>
      </right>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thick">
        <color auto="1"/>
      </right>
      <top/>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ck">
        <color auto="1"/>
      </right>
      <top style="medium">
        <color auto="1"/>
      </top>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top style="thin">
        <color auto="1"/>
      </top>
      <bottom/>
      <diagonal/>
    </border>
    <border>
      <left/>
      <right style="thick">
        <color auto="1"/>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ck">
        <color auto="1"/>
      </right>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thick">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right style="medium">
        <color indexed="64"/>
      </right>
      <top style="medium">
        <color indexed="64"/>
      </top>
      <bottom style="medium">
        <color indexed="64"/>
      </bottom>
      <diagonal/>
    </border>
  </borders>
  <cellStyleXfs count="5">
    <xf numFmtId="0" fontId="0" fillId="0" borderId="0"/>
    <xf numFmtId="0" fontId="10" fillId="0" borderId="0" applyNumberFormat="0" applyFill="0" applyBorder="0" applyAlignment="0" applyProtection="0">
      <alignment vertical="top"/>
      <protection locked="0"/>
    </xf>
    <xf numFmtId="9" fontId="30" fillId="0" borderId="0" applyFont="0" applyFill="0" applyBorder="0" applyAlignment="0" applyProtection="0"/>
    <xf numFmtId="0" fontId="33" fillId="0" borderId="0"/>
    <xf numFmtId="0" fontId="33" fillId="0" borderId="0"/>
  </cellStyleXfs>
  <cellXfs count="1049">
    <xf numFmtId="0" fontId="0" fillId="0" borderId="0" xfId="0"/>
    <xf numFmtId="0" fontId="0" fillId="0" borderId="0" xfId="0" applyAlignment="1"/>
    <xf numFmtId="0" fontId="1" fillId="0" borderId="0" xfId="0" applyFont="1" applyAlignment="1"/>
    <xf numFmtId="0" fontId="4" fillId="0" borderId="10" xfId="0" applyFont="1" applyBorder="1" applyAlignment="1">
      <alignment horizontal="center" wrapText="1"/>
    </xf>
    <xf numFmtId="0" fontId="4" fillId="0" borderId="40" xfId="0" applyFont="1" applyBorder="1" applyAlignment="1">
      <alignment horizontal="center" wrapText="1"/>
    </xf>
    <xf numFmtId="0" fontId="4" fillId="4" borderId="37" xfId="0" applyFont="1" applyFill="1" applyBorder="1" applyAlignment="1">
      <alignment horizontal="center" wrapText="1"/>
    </xf>
    <xf numFmtId="0" fontId="4" fillId="4" borderId="40" xfId="0" applyFont="1" applyFill="1" applyBorder="1" applyAlignment="1">
      <alignment horizontal="center" wrapText="1"/>
    </xf>
    <xf numFmtId="0" fontId="4" fillId="5" borderId="10" xfId="0" applyFont="1" applyFill="1" applyBorder="1" applyAlignment="1">
      <alignment horizontal="center" wrapText="1"/>
    </xf>
    <xf numFmtId="0" fontId="4" fillId="5" borderId="40" xfId="0" applyFont="1" applyFill="1" applyBorder="1" applyAlignment="1">
      <alignment horizontal="center" wrapText="1"/>
    </xf>
    <xf numFmtId="0" fontId="4" fillId="5" borderId="40" xfId="0" applyFont="1" applyFill="1" applyBorder="1" applyAlignment="1">
      <alignment horizontal="center" vertical="top" wrapText="1"/>
    </xf>
    <xf numFmtId="0" fontId="5" fillId="0" borderId="40" xfId="0" applyFont="1" applyBorder="1" applyAlignment="1">
      <alignment horizontal="center" wrapText="1"/>
    </xf>
    <xf numFmtId="0" fontId="5" fillId="4" borderId="40" xfId="0" applyFont="1" applyFill="1" applyBorder="1" applyAlignment="1">
      <alignment horizontal="center" wrapText="1"/>
    </xf>
    <xf numFmtId="0" fontId="5" fillId="6" borderId="40" xfId="0" applyFont="1" applyFill="1" applyBorder="1" applyAlignment="1">
      <alignment horizontal="center" wrapText="1"/>
    </xf>
    <xf numFmtId="0" fontId="5" fillId="7" borderId="40" xfId="0" applyFont="1" applyFill="1" applyBorder="1" applyAlignment="1">
      <alignment horizontal="center" vertical="top" wrapText="1"/>
    </xf>
    <xf numFmtId="0" fontId="5" fillId="7" borderId="41" xfId="0" applyFont="1" applyFill="1" applyBorder="1" applyAlignment="1">
      <alignment horizontal="center" vertical="top" wrapText="1"/>
    </xf>
    <xf numFmtId="0" fontId="5" fillId="0" borderId="10" xfId="0" applyFont="1" applyBorder="1" applyAlignment="1">
      <alignment wrapText="1"/>
    </xf>
    <xf numFmtId="0" fontId="5" fillId="8" borderId="40" xfId="0" applyFont="1" applyFill="1" applyBorder="1" applyAlignment="1">
      <alignment horizontal="center" wrapText="1"/>
    </xf>
    <xf numFmtId="0" fontId="4" fillId="7" borderId="11" xfId="0" applyFont="1" applyFill="1" applyBorder="1" applyAlignment="1">
      <alignment vertical="top" wrapText="1"/>
    </xf>
    <xf numFmtId="0" fontId="5" fillId="0" borderId="37" xfId="0" applyFont="1" applyBorder="1" applyAlignment="1">
      <alignment horizontal="center" wrapText="1"/>
    </xf>
    <xf numFmtId="0" fontId="5" fillId="0" borderId="40" xfId="0" applyFont="1" applyBorder="1" applyAlignment="1">
      <alignment horizontal="center" vertical="top" wrapText="1"/>
    </xf>
    <xf numFmtId="0" fontId="5" fillId="0" borderId="37" xfId="0" applyFont="1" applyBorder="1" applyAlignment="1">
      <alignment horizontal="center" vertical="top" wrapText="1"/>
    </xf>
    <xf numFmtId="0" fontId="5" fillId="0" borderId="10" xfId="0" applyFont="1" applyBorder="1" applyAlignment="1">
      <alignment horizontal="left" wrapText="1"/>
    </xf>
    <xf numFmtId="0" fontId="5" fillId="0" borderId="10" xfId="0" applyFont="1" applyBorder="1" applyAlignment="1">
      <alignment horizontal="left" vertical="top" wrapText="1"/>
    </xf>
    <xf numFmtId="0" fontId="0" fillId="0" borderId="0" xfId="0" applyAlignment="1">
      <alignment wrapText="1"/>
    </xf>
    <xf numFmtId="0" fontId="5" fillId="0" borderId="38" xfId="0" applyFont="1" applyBorder="1" applyAlignment="1">
      <alignment horizontal="left" vertical="top" wrapText="1"/>
    </xf>
    <xf numFmtId="0" fontId="5" fillId="3" borderId="58" xfId="0" applyFont="1" applyFill="1" applyBorder="1" applyAlignment="1">
      <alignment horizontal="center" wrapText="1"/>
    </xf>
    <xf numFmtId="0" fontId="5" fillId="3" borderId="58" xfId="0" applyFont="1" applyFill="1" applyBorder="1" applyAlignment="1">
      <alignment horizontal="center" vertical="top" wrapText="1"/>
    </xf>
    <xf numFmtId="0" fontId="5" fillId="3" borderId="61" xfId="0" applyFont="1" applyFill="1" applyBorder="1" applyAlignment="1">
      <alignment horizontal="center" vertical="top" wrapText="1"/>
    </xf>
    <xf numFmtId="0" fontId="5" fillId="0" borderId="11" xfId="0" applyFont="1" applyBorder="1" applyAlignment="1">
      <alignment wrapText="1"/>
    </xf>
    <xf numFmtId="0" fontId="5" fillId="0" borderId="10" xfId="0" applyFont="1" applyBorder="1" applyAlignment="1">
      <alignment wrapText="1"/>
    </xf>
    <xf numFmtId="0" fontId="5" fillId="7" borderId="40" xfId="0" applyFont="1" applyFill="1" applyBorder="1" applyAlignment="1">
      <alignment horizontal="center" wrapText="1"/>
    </xf>
    <xf numFmtId="0" fontId="5" fillId="0" borderId="64" xfId="0" applyFont="1" applyBorder="1" applyAlignment="1">
      <alignment wrapText="1"/>
    </xf>
    <xf numFmtId="0" fontId="5" fillId="6" borderId="30" xfId="0" applyFont="1" applyFill="1" applyBorder="1" applyAlignment="1">
      <alignment horizontal="center" wrapText="1"/>
    </xf>
    <xf numFmtId="0" fontId="0" fillId="0" borderId="0" xfId="0" applyAlignment="1">
      <alignment horizontal="center"/>
    </xf>
    <xf numFmtId="0" fontId="4" fillId="0" borderId="64" xfId="0" applyFont="1" applyBorder="1" applyAlignment="1">
      <alignment horizontal="center" wrapText="1"/>
    </xf>
    <xf numFmtId="0" fontId="5" fillId="0" borderId="64" xfId="0" applyFont="1" applyBorder="1" applyAlignment="1">
      <alignment horizontal="left" wrapText="1"/>
    </xf>
    <xf numFmtId="0" fontId="0" fillId="0" borderId="0" xfId="0" applyBorder="1"/>
    <xf numFmtId="0" fontId="4" fillId="4" borderId="10" xfId="0" applyFont="1" applyFill="1" applyBorder="1" applyAlignment="1">
      <alignment vertical="top" wrapText="1"/>
    </xf>
    <xf numFmtId="0" fontId="10" fillId="0" borderId="0" xfId="1" applyAlignment="1" applyProtection="1"/>
    <xf numFmtId="0" fontId="5" fillId="0" borderId="11" xfId="0" applyFont="1" applyBorder="1" applyAlignment="1">
      <alignment horizontal="center" vertical="top" wrapText="1"/>
    </xf>
    <xf numFmtId="0" fontId="5" fillId="0" borderId="11" xfId="0" applyFont="1" applyBorder="1" applyAlignment="1">
      <alignment vertical="top" wrapText="1"/>
    </xf>
    <xf numFmtId="0" fontId="5" fillId="0" borderId="64" xfId="0" applyFont="1" applyBorder="1" applyAlignment="1">
      <alignment horizontal="center" vertical="top" wrapText="1"/>
    </xf>
    <xf numFmtId="0" fontId="5" fillId="3" borderId="64" xfId="0" applyFont="1" applyFill="1" applyBorder="1" applyAlignment="1">
      <alignment horizontal="center" wrapText="1"/>
    </xf>
    <xf numFmtId="0" fontId="5" fillId="3" borderId="11" xfId="0" applyFont="1" applyFill="1" applyBorder="1" applyAlignment="1">
      <alignment horizontal="center" wrapText="1"/>
    </xf>
    <xf numFmtId="0" fontId="5" fillId="7" borderId="49" xfId="0" applyFont="1" applyFill="1" applyBorder="1" applyAlignment="1">
      <alignment horizontal="center" wrapText="1"/>
    </xf>
    <xf numFmtId="0" fontId="5" fillId="3" borderId="49" xfId="0" applyFont="1" applyFill="1" applyBorder="1" applyAlignment="1">
      <alignment horizontal="center" wrapText="1"/>
    </xf>
    <xf numFmtId="0" fontId="5" fillId="7" borderId="64" xfId="0" applyFont="1" applyFill="1" applyBorder="1" applyAlignment="1">
      <alignment horizontal="center" wrapText="1"/>
    </xf>
    <xf numFmtId="0" fontId="5" fillId="7" borderId="30" xfId="0" applyFont="1" applyFill="1" applyBorder="1" applyAlignment="1">
      <alignment horizontal="center" wrapText="1"/>
    </xf>
    <xf numFmtId="0" fontId="5" fillId="3" borderId="30" xfId="0" applyFont="1" applyFill="1" applyBorder="1" applyAlignment="1">
      <alignment horizontal="center" wrapText="1"/>
    </xf>
    <xf numFmtId="0" fontId="4" fillId="0" borderId="64" xfId="0" applyFont="1" applyBorder="1" applyAlignment="1">
      <alignment vertical="top" wrapText="1"/>
    </xf>
    <xf numFmtId="0" fontId="5" fillId="0" borderId="11" xfId="0" applyFont="1" applyBorder="1" applyAlignment="1">
      <alignment horizontal="left" vertical="top" wrapText="1"/>
    </xf>
    <xf numFmtId="0" fontId="4" fillId="0" borderId="37" xfId="0" applyFont="1" applyBorder="1" applyAlignment="1">
      <alignment horizontal="center" wrapText="1"/>
    </xf>
    <xf numFmtId="0" fontId="12" fillId="3" borderId="41" xfId="0" applyFont="1" applyFill="1" applyBorder="1" applyAlignment="1">
      <alignment horizontal="center" vertical="top" wrapText="1"/>
    </xf>
    <xf numFmtId="0" fontId="12" fillId="3" borderId="41" xfId="0" applyFont="1" applyFill="1" applyBorder="1" applyAlignment="1">
      <alignment vertical="top" wrapText="1"/>
    </xf>
    <xf numFmtId="0" fontId="12" fillId="3" borderId="40" xfId="0" applyFont="1" applyFill="1" applyBorder="1" applyAlignment="1">
      <alignment vertical="top" wrapText="1"/>
    </xf>
    <xf numFmtId="0" fontId="12" fillId="3" borderId="49" xfId="0" applyFont="1" applyFill="1" applyBorder="1" applyAlignment="1">
      <alignment vertical="top" wrapText="1"/>
    </xf>
    <xf numFmtId="0" fontId="12" fillId="3" borderId="64" xfId="0" applyFont="1" applyFill="1" applyBorder="1" applyAlignment="1">
      <alignment vertical="top" wrapText="1"/>
    </xf>
    <xf numFmtId="0" fontId="5" fillId="0" borderId="76" xfId="0" applyFont="1" applyBorder="1" applyAlignment="1">
      <alignment vertical="top" wrapText="1"/>
    </xf>
    <xf numFmtId="0" fontId="12" fillId="3" borderId="77" xfId="0" applyFont="1" applyFill="1" applyBorder="1" applyAlignment="1">
      <alignment vertical="top" wrapText="1"/>
    </xf>
    <xf numFmtId="0" fontId="12" fillId="3" borderId="72" xfId="0" applyFont="1" applyFill="1" applyBorder="1" applyAlignment="1">
      <alignment vertical="top" wrapText="1"/>
    </xf>
    <xf numFmtId="0" fontId="12" fillId="3" borderId="82" xfId="0" applyFont="1" applyFill="1" applyBorder="1" applyAlignment="1">
      <alignment vertical="top" wrapText="1"/>
    </xf>
    <xf numFmtId="0" fontId="12" fillId="0" borderId="11" xfId="0" applyFont="1" applyBorder="1" applyAlignment="1">
      <alignment vertical="top" wrapText="1"/>
    </xf>
    <xf numFmtId="0" fontId="4" fillId="3" borderId="80" xfId="0" applyFont="1" applyFill="1" applyBorder="1" applyAlignment="1">
      <alignment wrapText="1"/>
    </xf>
    <xf numFmtId="0" fontId="16" fillId="0" borderId="41" xfId="0" applyFont="1" applyBorder="1" applyAlignment="1">
      <alignment horizontal="center" wrapText="1"/>
    </xf>
    <xf numFmtId="0" fontId="4" fillId="0" borderId="30" xfId="0" applyFont="1" applyBorder="1" applyAlignment="1">
      <alignment horizontal="center" wrapText="1"/>
    </xf>
    <xf numFmtId="0" fontId="4" fillId="0" borderId="64" xfId="0" applyFont="1" applyBorder="1" applyAlignment="1">
      <alignment horizontal="center" wrapText="1"/>
    </xf>
    <xf numFmtId="0" fontId="4" fillId="0" borderId="77" xfId="0" applyFont="1" applyBorder="1" applyAlignment="1">
      <alignment horizontal="center" wrapText="1"/>
    </xf>
    <xf numFmtId="0" fontId="4" fillId="0" borderId="76" xfId="0" applyFont="1" applyBorder="1" applyAlignment="1">
      <alignment wrapText="1"/>
    </xf>
    <xf numFmtId="0" fontId="12" fillId="3" borderId="37" xfId="0" applyFont="1" applyFill="1" applyBorder="1" applyAlignment="1">
      <alignment horizontal="center" vertical="top" wrapText="1"/>
    </xf>
    <xf numFmtId="0" fontId="2" fillId="2" borderId="39" xfId="0" applyFont="1" applyFill="1" applyBorder="1" applyAlignment="1">
      <alignment wrapText="1"/>
    </xf>
    <xf numFmtId="0" fontId="2" fillId="2" borderId="7" xfId="0" applyFont="1" applyFill="1" applyBorder="1" applyAlignment="1">
      <alignment wrapText="1"/>
    </xf>
    <xf numFmtId="0" fontId="2" fillId="2" borderId="40" xfId="0" applyFont="1" applyFill="1" applyBorder="1" applyAlignment="1">
      <alignment wrapText="1"/>
    </xf>
    <xf numFmtId="0" fontId="2" fillId="2" borderId="0" xfId="0" applyFont="1" applyFill="1" applyBorder="1" applyAlignment="1">
      <alignment wrapText="1"/>
    </xf>
    <xf numFmtId="0" fontId="2" fillId="2" borderId="65" xfId="0" applyFont="1" applyFill="1" applyBorder="1" applyAlignment="1">
      <alignment wrapText="1"/>
    </xf>
    <xf numFmtId="0" fontId="2" fillId="2" borderId="41" xfId="0" applyFont="1" applyFill="1" applyBorder="1" applyAlignment="1">
      <alignment wrapText="1"/>
    </xf>
    <xf numFmtId="0" fontId="7" fillId="0" borderId="40" xfId="0" applyFont="1" applyBorder="1" applyAlignment="1">
      <alignment horizontal="center" wrapText="1"/>
    </xf>
    <xf numFmtId="0" fontId="4" fillId="2" borderId="78" xfId="0" applyFont="1" applyFill="1" applyBorder="1" applyAlignment="1">
      <alignment wrapText="1"/>
    </xf>
    <xf numFmtId="0" fontId="4" fillId="2" borderId="75" xfId="0" applyFont="1" applyFill="1" applyBorder="1" applyAlignment="1">
      <alignment wrapText="1"/>
    </xf>
    <xf numFmtId="0" fontId="4" fillId="0" borderId="10" xfId="0" applyFont="1" applyBorder="1" applyAlignment="1">
      <alignment horizontal="center" vertical="top" wrapText="1"/>
    </xf>
    <xf numFmtId="0" fontId="4" fillId="0" borderId="40" xfId="0" applyFont="1" applyBorder="1" applyAlignment="1">
      <alignment horizontal="center" vertical="top" wrapText="1"/>
    </xf>
    <xf numFmtId="0" fontId="4" fillId="0" borderId="76" xfId="0" applyFont="1" applyBorder="1" applyAlignment="1">
      <alignment horizontal="center" vertical="top" wrapText="1"/>
    </xf>
    <xf numFmtId="0" fontId="4" fillId="0" borderId="64" xfId="0" applyFont="1" applyBorder="1" applyAlignment="1">
      <alignment horizontal="center" vertical="top" wrapText="1"/>
    </xf>
    <xf numFmtId="0" fontId="4" fillId="0" borderId="77" xfId="0" applyFont="1" applyBorder="1" applyAlignment="1">
      <alignment horizontal="center" vertical="top" wrapText="1"/>
    </xf>
    <xf numFmtId="0" fontId="9" fillId="0" borderId="76" xfId="0" applyFont="1" applyBorder="1" applyAlignment="1">
      <alignment vertical="top" wrapText="1"/>
    </xf>
    <xf numFmtId="0" fontId="6" fillId="3" borderId="76" xfId="0" applyFont="1" applyFill="1" applyBorder="1" applyAlignment="1">
      <alignment vertical="top" wrapText="1"/>
    </xf>
    <xf numFmtId="0" fontId="9" fillId="2" borderId="76" xfId="0" applyFont="1" applyFill="1" applyBorder="1" applyAlignment="1">
      <alignment horizontal="left" vertical="top" wrapText="1" indent="3"/>
    </xf>
    <xf numFmtId="0" fontId="5" fillId="2" borderId="64" xfId="0" applyFont="1" applyFill="1" applyBorder="1" applyAlignment="1">
      <alignment horizontal="center" wrapText="1"/>
    </xf>
    <xf numFmtId="0" fontId="1" fillId="2" borderId="64" xfId="0" applyFont="1" applyFill="1" applyBorder="1" applyAlignment="1">
      <alignment vertical="top" wrapText="1"/>
    </xf>
    <xf numFmtId="0" fontId="1" fillId="2" borderId="77" xfId="0" applyFont="1" applyFill="1" applyBorder="1" applyAlignment="1">
      <alignment vertical="top" wrapText="1"/>
    </xf>
    <xf numFmtId="0" fontId="20" fillId="0" borderId="76" xfId="0" applyFont="1" applyBorder="1" applyAlignment="1">
      <alignment horizontal="right" vertical="top" wrapText="1"/>
    </xf>
    <xf numFmtId="0" fontId="20" fillId="0" borderId="64" xfId="0" applyFont="1" applyBorder="1" applyAlignment="1">
      <alignment horizontal="center" wrapText="1"/>
    </xf>
    <xf numFmtId="0" fontId="5" fillId="0" borderId="10" xfId="0" applyFont="1" applyBorder="1" applyAlignment="1">
      <alignment horizontal="right" vertical="top" wrapText="1"/>
    </xf>
    <xf numFmtId="0" fontId="5" fillId="0" borderId="76" xfId="0" applyFont="1" applyBorder="1" applyAlignment="1"/>
    <xf numFmtId="0" fontId="4" fillId="3" borderId="76" xfId="0" applyFont="1" applyFill="1" applyBorder="1" applyAlignment="1">
      <alignment vertical="top" wrapText="1"/>
    </xf>
    <xf numFmtId="0" fontId="4" fillId="8" borderId="64" xfId="0" applyFont="1" applyFill="1" applyBorder="1" applyAlignment="1">
      <alignment wrapText="1"/>
    </xf>
    <xf numFmtId="0" fontId="4" fillId="3" borderId="80" xfId="0" applyFont="1" applyFill="1" applyBorder="1" applyAlignment="1">
      <alignment vertical="top" wrapText="1"/>
    </xf>
    <xf numFmtId="0" fontId="11" fillId="0" borderId="41" xfId="0" applyFont="1" applyBorder="1" applyAlignment="1">
      <alignment wrapText="1"/>
    </xf>
    <xf numFmtId="0" fontId="12" fillId="4" borderId="41" xfId="0" applyFont="1" applyFill="1" applyBorder="1" applyAlignment="1">
      <alignment vertical="top" wrapText="1"/>
    </xf>
    <xf numFmtId="0" fontId="12" fillId="4" borderId="40" xfId="0" applyFont="1" applyFill="1" applyBorder="1" applyAlignment="1">
      <alignment vertical="top" wrapText="1"/>
    </xf>
    <xf numFmtId="0" fontId="11" fillId="0" borderId="48" xfId="0" applyFont="1" applyBorder="1" applyAlignment="1">
      <alignment wrapText="1"/>
    </xf>
    <xf numFmtId="0" fontId="11" fillId="0" borderId="40" xfId="0" applyFont="1" applyBorder="1" applyAlignment="1">
      <alignment wrapText="1"/>
    </xf>
    <xf numFmtId="0" fontId="11" fillId="0" borderId="40" xfId="0" applyFont="1" applyBorder="1" applyAlignment="1">
      <alignment horizontal="center" wrapText="1"/>
    </xf>
    <xf numFmtId="0" fontId="7" fillId="0" borderId="50" xfId="0" applyFont="1" applyBorder="1" applyAlignment="1">
      <alignment wrapText="1"/>
    </xf>
    <xf numFmtId="0" fontId="7" fillId="0" borderId="41" xfId="0" applyFont="1" applyBorder="1" applyAlignment="1">
      <alignment horizontal="center" wrapText="1"/>
    </xf>
    <xf numFmtId="0" fontId="7" fillId="0" borderId="37" xfId="0" applyFont="1" applyBorder="1" applyAlignment="1">
      <alignment horizontal="center" wrapText="1"/>
    </xf>
    <xf numFmtId="0" fontId="12" fillId="0" borderId="41" xfId="0" applyFont="1" applyBorder="1" applyAlignment="1">
      <alignment vertical="top" wrapText="1"/>
    </xf>
    <xf numFmtId="0" fontId="12" fillId="0" borderId="40" xfId="0" applyFont="1" applyBorder="1" applyAlignment="1">
      <alignment vertical="top" wrapText="1"/>
    </xf>
    <xf numFmtId="0" fontId="12" fillId="0" borderId="49" xfId="0" applyFont="1" applyBorder="1" applyAlignment="1">
      <alignment vertical="top" wrapText="1"/>
    </xf>
    <xf numFmtId="0" fontId="11" fillId="0" borderId="39" xfId="0" applyFont="1" applyBorder="1" applyAlignment="1">
      <alignment wrapText="1"/>
    </xf>
    <xf numFmtId="0" fontId="16" fillId="0" borderId="49" xfId="0" applyFont="1" applyBorder="1" applyAlignment="1">
      <alignment horizontal="center" wrapText="1"/>
    </xf>
    <xf numFmtId="0" fontId="16" fillId="0" borderId="64" xfId="0" applyFont="1" applyBorder="1" applyAlignment="1">
      <alignment horizontal="center" wrapText="1"/>
    </xf>
    <xf numFmtId="0" fontId="12" fillId="4" borderId="64" xfId="0" applyFont="1" applyFill="1" applyBorder="1" applyAlignment="1">
      <alignment vertical="top" wrapText="1"/>
    </xf>
    <xf numFmtId="0" fontId="16" fillId="4" borderId="64" xfId="0" applyFont="1" applyFill="1" applyBorder="1" applyAlignment="1">
      <alignment horizontal="center" wrapText="1"/>
    </xf>
    <xf numFmtId="0" fontId="12" fillId="3" borderId="88" xfId="0" applyFont="1" applyFill="1" applyBorder="1" applyAlignment="1">
      <alignment vertical="top" wrapText="1"/>
    </xf>
    <xf numFmtId="0" fontId="12" fillId="3" borderId="87" xfId="0" applyFont="1" applyFill="1" applyBorder="1" applyAlignment="1">
      <alignment vertical="top" wrapText="1"/>
    </xf>
    <xf numFmtId="0" fontId="12" fillId="3" borderId="89" xfId="0" applyFont="1" applyFill="1" applyBorder="1" applyAlignment="1">
      <alignment vertical="top" wrapText="1"/>
    </xf>
    <xf numFmtId="0" fontId="12" fillId="0" borderId="10" xfId="0" applyFont="1" applyBorder="1" applyAlignment="1">
      <alignment vertical="top" wrapText="1"/>
    </xf>
    <xf numFmtId="0" fontId="12" fillId="0" borderId="38" xfId="0" applyFont="1" applyBorder="1" applyAlignment="1">
      <alignment vertical="top" wrapText="1"/>
    </xf>
    <xf numFmtId="0" fontId="16" fillId="4" borderId="72" xfId="0" applyFont="1" applyFill="1" applyBorder="1" applyAlignment="1">
      <alignment horizontal="center" wrapText="1"/>
    </xf>
    <xf numFmtId="0" fontId="16" fillId="3" borderId="41" xfId="0" applyFont="1" applyFill="1" applyBorder="1" applyAlignment="1">
      <alignment horizontal="center" wrapText="1"/>
    </xf>
    <xf numFmtId="0" fontId="16" fillId="3" borderId="40" xfId="0" applyFont="1" applyFill="1" applyBorder="1" applyAlignment="1">
      <alignment horizontal="center" wrapText="1"/>
    </xf>
    <xf numFmtId="0" fontId="16" fillId="3" borderId="11" xfId="0" applyFont="1" applyFill="1" applyBorder="1" applyAlignment="1">
      <alignment horizontal="center" wrapText="1"/>
    </xf>
    <xf numFmtId="0" fontId="16" fillId="3" borderId="10" xfId="0" applyFont="1" applyFill="1" applyBorder="1" applyAlignment="1">
      <alignment horizontal="center" wrapText="1"/>
    </xf>
    <xf numFmtId="0" fontId="16" fillId="3" borderId="69" xfId="0" applyFont="1" applyFill="1" applyBorder="1" applyAlignment="1">
      <alignment horizontal="center" wrapText="1"/>
    </xf>
    <xf numFmtId="0" fontId="4" fillId="0" borderId="41" xfId="0" applyFont="1" applyBorder="1" applyAlignment="1">
      <alignment horizontal="center" wrapText="1"/>
    </xf>
    <xf numFmtId="0" fontId="1" fillId="0" borderId="37" xfId="0" applyFont="1" applyBorder="1" applyAlignment="1">
      <alignment vertical="top" wrapText="1"/>
    </xf>
    <xf numFmtId="0" fontId="0" fillId="3" borderId="37" xfId="0" applyFill="1" applyBorder="1" applyAlignment="1">
      <alignment vertical="top" wrapText="1"/>
    </xf>
    <xf numFmtId="0" fontId="4" fillId="0" borderId="12" xfId="0" applyFont="1" applyBorder="1" applyAlignment="1">
      <alignment wrapText="1"/>
    </xf>
    <xf numFmtId="0" fontId="4" fillId="0" borderId="13" xfId="0" applyFont="1" applyBorder="1" applyAlignment="1">
      <alignment wrapText="1"/>
    </xf>
    <xf numFmtId="0" fontId="4" fillId="0" borderId="14" xfId="0" applyFont="1" applyBorder="1" applyAlignment="1">
      <alignment wrapText="1"/>
    </xf>
    <xf numFmtId="0" fontId="4" fillId="0" borderId="16" xfId="0" applyFont="1" applyBorder="1" applyAlignment="1">
      <alignment wrapText="1"/>
    </xf>
    <xf numFmtId="0" fontId="4" fillId="0" borderId="76" xfId="0" applyFont="1" applyBorder="1" applyAlignment="1">
      <alignment vertical="top" wrapText="1"/>
    </xf>
    <xf numFmtId="0" fontId="4" fillId="0" borderId="77" xfId="0" applyFont="1" applyBorder="1" applyAlignment="1">
      <alignment vertical="top" wrapText="1"/>
    </xf>
    <xf numFmtId="0" fontId="1" fillId="0" borderId="77" xfId="0" applyFont="1" applyBorder="1" applyAlignment="1">
      <alignment wrapText="1"/>
    </xf>
    <xf numFmtId="0" fontId="1" fillId="0" borderId="77" xfId="0" applyFont="1" applyBorder="1" applyAlignment="1">
      <alignment horizontal="left" wrapText="1" indent="4"/>
    </xf>
    <xf numFmtId="0" fontId="1" fillId="0" borderId="82" xfId="0" applyFont="1" applyBorder="1" applyAlignment="1">
      <alignment horizontal="left" wrapText="1" indent="4"/>
    </xf>
    <xf numFmtId="0" fontId="5" fillId="10" borderId="76" xfId="0" applyFont="1" applyFill="1" applyBorder="1" applyAlignment="1">
      <alignment horizontal="center" wrapText="1"/>
    </xf>
    <xf numFmtId="0" fontId="5" fillId="10" borderId="80" xfId="0" applyFont="1" applyFill="1" applyBorder="1" applyAlignment="1">
      <alignment horizontal="center" wrapText="1"/>
    </xf>
    <xf numFmtId="0" fontId="4" fillId="0" borderId="30" xfId="0" applyFont="1" applyBorder="1" applyAlignment="1">
      <alignment horizontal="center" wrapText="1"/>
    </xf>
    <xf numFmtId="0" fontId="4" fillId="0" borderId="64" xfId="0" applyFont="1" applyBorder="1" applyAlignment="1">
      <alignment horizontal="center" wrapText="1"/>
    </xf>
    <xf numFmtId="0" fontId="5" fillId="0" borderId="30" xfId="0" applyFont="1" applyBorder="1" applyAlignment="1">
      <alignment horizontal="center" wrapText="1"/>
    </xf>
    <xf numFmtId="0" fontId="5" fillId="0" borderId="64" xfId="0" applyFont="1" applyBorder="1" applyAlignment="1">
      <alignment horizontal="center" wrapText="1"/>
    </xf>
    <xf numFmtId="0" fontId="5" fillId="0" borderId="11" xfId="0" applyFont="1" applyBorder="1" applyAlignment="1">
      <alignment wrapText="1"/>
    </xf>
    <xf numFmtId="0" fontId="5" fillId="0" borderId="10" xfId="0" applyFont="1" applyBorder="1" applyAlignment="1">
      <alignment wrapText="1"/>
    </xf>
    <xf numFmtId="0" fontId="1" fillId="0" borderId="57" xfId="0" applyFont="1" applyBorder="1"/>
    <xf numFmtId="0" fontId="1" fillId="0" borderId="23" xfId="0" applyFont="1" applyBorder="1"/>
    <xf numFmtId="0" fontId="1" fillId="0" borderId="59" xfId="0" applyFont="1" applyBorder="1"/>
    <xf numFmtId="0" fontId="1" fillId="0" borderId="60" xfId="0" applyFont="1" applyBorder="1"/>
    <xf numFmtId="0" fontId="1" fillId="0" borderId="0" xfId="0" applyFont="1"/>
    <xf numFmtId="0" fontId="3" fillId="2" borderId="1" xfId="0" applyFont="1" applyFill="1" applyBorder="1" applyAlignment="1"/>
    <xf numFmtId="0" fontId="1" fillId="2" borderId="6"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7" xfId="0" applyFont="1" applyFill="1" applyBorder="1" applyAlignment="1"/>
    <xf numFmtId="0" fontId="1" fillId="2" borderId="4" xfId="0" applyFont="1" applyFill="1" applyBorder="1" applyAlignment="1"/>
    <xf numFmtId="0" fontId="1" fillId="2" borderId="6" xfId="0" applyFont="1" applyFill="1" applyBorder="1"/>
    <xf numFmtId="0" fontId="1" fillId="2" borderId="2" xfId="0" applyFont="1" applyFill="1" applyBorder="1"/>
    <xf numFmtId="0" fontId="1" fillId="2" borderId="7" xfId="0" applyFont="1" applyFill="1" applyBorder="1"/>
    <xf numFmtId="0" fontId="1" fillId="2" borderId="4" xfId="0" applyFont="1" applyFill="1" applyBorder="1"/>
    <xf numFmtId="0" fontId="2" fillId="0" borderId="0" xfId="0" applyFont="1"/>
    <xf numFmtId="0" fontId="1" fillId="0" borderId="0" xfId="0" applyFont="1" applyBorder="1"/>
    <xf numFmtId="14" fontId="1" fillId="0" borderId="0" xfId="0" applyNumberFormat="1" applyFont="1"/>
    <xf numFmtId="0" fontId="1" fillId="0" borderId="0" xfId="0" applyFont="1" applyBorder="1" applyAlignment="1">
      <alignment vertical="center"/>
    </xf>
    <xf numFmtId="0" fontId="5" fillId="0" borderId="11" xfId="0" applyFont="1" applyBorder="1" applyAlignment="1">
      <alignment horizontal="center" wrapText="1"/>
    </xf>
    <xf numFmtId="0" fontId="5" fillId="7" borderId="41" xfId="0" applyFont="1" applyFill="1" applyBorder="1" applyAlignment="1">
      <alignment horizontal="center" wrapText="1"/>
    </xf>
    <xf numFmtId="0" fontId="0" fillId="0" borderId="0" xfId="0" applyAlignment="1">
      <alignment horizontal="left"/>
    </xf>
    <xf numFmtId="0" fontId="26" fillId="0" borderId="0" xfId="0" applyFont="1" applyAlignment="1">
      <alignment horizontal="left"/>
    </xf>
    <xf numFmtId="0" fontId="4" fillId="11" borderId="40" xfId="0" applyFont="1" applyFill="1" applyBorder="1" applyAlignment="1">
      <alignment horizontal="center" wrapText="1"/>
    </xf>
    <xf numFmtId="0" fontId="5" fillId="0" borderId="10" xfId="0" applyFont="1" applyBorder="1" applyAlignment="1">
      <alignment wrapText="1"/>
    </xf>
    <xf numFmtId="0" fontId="5" fillId="0" borderId="0" xfId="0" applyFont="1" applyFill="1" applyBorder="1" applyAlignment="1">
      <alignment horizontal="left" wrapText="1"/>
    </xf>
    <xf numFmtId="0" fontId="5" fillId="0" borderId="65" xfId="0" applyFont="1" applyBorder="1" applyAlignment="1">
      <alignment wrapText="1"/>
    </xf>
    <xf numFmtId="0" fontId="5" fillId="0" borderId="65" xfId="0" applyFont="1" applyBorder="1" applyAlignment="1">
      <alignment vertical="top" wrapText="1"/>
    </xf>
    <xf numFmtId="0" fontId="4" fillId="4" borderId="28" xfId="0" applyFont="1" applyFill="1" applyBorder="1" applyAlignment="1">
      <alignment horizontal="left" vertical="top" wrapText="1"/>
    </xf>
    <xf numFmtId="0" fontId="4" fillId="4" borderId="64" xfId="0" applyFont="1" applyFill="1" applyBorder="1" applyAlignment="1">
      <alignment vertical="top" wrapText="1"/>
    </xf>
    <xf numFmtId="0" fontId="4" fillId="3" borderId="107" xfId="0" applyFont="1" applyFill="1" applyBorder="1" applyAlignment="1">
      <alignment wrapText="1"/>
    </xf>
    <xf numFmtId="0" fontId="5" fillId="0" borderId="11" xfId="0" applyFont="1" applyBorder="1" applyAlignment="1"/>
    <xf numFmtId="0" fontId="5" fillId="0" borderId="69" xfId="0" applyFont="1" applyBorder="1" applyAlignment="1">
      <alignment wrapText="1"/>
    </xf>
    <xf numFmtId="0" fontId="5" fillId="0" borderId="69" xfId="0" applyFont="1" applyBorder="1" applyAlignment="1"/>
    <xf numFmtId="0" fontId="5" fillId="0" borderId="0" xfId="0" applyFont="1"/>
    <xf numFmtId="0" fontId="5" fillId="0" borderId="0" xfId="0" applyFont="1" applyAlignment="1">
      <alignment horizontal="left" indent="2"/>
    </xf>
    <xf numFmtId="0" fontId="5" fillId="0" borderId="0" xfId="0" applyFont="1" applyAlignment="1">
      <alignment horizontal="left" indent="1"/>
    </xf>
    <xf numFmtId="0" fontId="1" fillId="0" borderId="0" xfId="0" applyFont="1" applyAlignment="1">
      <alignment horizontal="left" indent="1"/>
    </xf>
    <xf numFmtId="0" fontId="11" fillId="0" borderId="22" xfId="0" applyFont="1" applyBorder="1" applyAlignment="1">
      <alignment wrapText="1"/>
    </xf>
    <xf numFmtId="0" fontId="12" fillId="3" borderId="22" xfId="0" applyFont="1" applyFill="1" applyBorder="1" applyAlignment="1">
      <alignment wrapText="1"/>
    </xf>
    <xf numFmtId="0" fontId="5" fillId="0" borderId="114" xfId="0" applyFont="1" applyBorder="1" applyAlignment="1">
      <alignment vertical="top" wrapText="1"/>
    </xf>
    <xf numFmtId="0" fontId="4" fillId="3" borderId="120" xfId="0" applyFont="1" applyFill="1" applyBorder="1" applyAlignment="1">
      <alignment wrapText="1"/>
    </xf>
    <xf numFmtId="0" fontId="12" fillId="3" borderId="121" xfId="0" applyFont="1" applyFill="1" applyBorder="1" applyAlignment="1">
      <alignment horizontal="center" wrapText="1"/>
    </xf>
    <xf numFmtId="9" fontId="12" fillId="3" borderId="121" xfId="0" applyNumberFormat="1" applyFont="1" applyFill="1" applyBorder="1" applyAlignment="1">
      <alignment wrapText="1"/>
    </xf>
    <xf numFmtId="0" fontId="12" fillId="3" borderId="121" xfId="0" applyFont="1" applyFill="1" applyBorder="1" applyAlignment="1">
      <alignment wrapText="1"/>
    </xf>
    <xf numFmtId="9" fontId="12" fillId="3" borderId="122" xfId="0" applyNumberFormat="1" applyFont="1" applyFill="1" applyBorder="1" applyAlignment="1">
      <alignment wrapText="1"/>
    </xf>
    <xf numFmtId="0" fontId="11" fillId="0" borderId="114" xfId="0" applyFont="1" applyBorder="1" applyAlignment="1">
      <alignment wrapText="1"/>
    </xf>
    <xf numFmtId="0" fontId="11" fillId="3" borderId="120" xfId="0" applyFont="1" applyFill="1" applyBorder="1" applyAlignment="1">
      <alignment wrapText="1"/>
    </xf>
    <xf numFmtId="0" fontId="12" fillId="3" borderId="121" xfId="0" applyFont="1" applyFill="1" applyBorder="1" applyAlignment="1">
      <alignment horizontal="center" vertical="top" wrapText="1"/>
    </xf>
    <xf numFmtId="0" fontId="12" fillId="3" borderId="114" xfId="0" applyFont="1" applyFill="1" applyBorder="1" applyAlignment="1">
      <alignment wrapText="1"/>
    </xf>
    <xf numFmtId="0" fontId="7" fillId="3" borderId="123" xfId="0" applyFont="1" applyFill="1" applyBorder="1" applyAlignment="1">
      <alignment wrapText="1"/>
    </xf>
    <xf numFmtId="0" fontId="12" fillId="7" borderId="23" xfId="0" applyFont="1" applyFill="1" applyBorder="1" applyAlignment="1">
      <alignment horizontal="center" wrapText="1"/>
    </xf>
    <xf numFmtId="0" fontId="5" fillId="0" borderId="25" xfId="0" applyFont="1" applyBorder="1" applyAlignment="1">
      <alignment vertical="top" wrapText="1"/>
    </xf>
    <xf numFmtId="0" fontId="5" fillId="0" borderId="26" xfId="0" applyFont="1" applyBorder="1" applyAlignment="1">
      <alignment vertical="top" wrapText="1"/>
    </xf>
    <xf numFmtId="0" fontId="7" fillId="7" borderId="115" xfId="0" applyFont="1" applyFill="1" applyBorder="1" applyAlignment="1">
      <alignment horizontal="center" wrapText="1"/>
    </xf>
    <xf numFmtId="0" fontId="7" fillId="0" borderId="115" xfId="0" applyFont="1" applyBorder="1" applyAlignment="1">
      <alignment horizontal="center" wrapText="1"/>
    </xf>
    <xf numFmtId="0" fontId="7" fillId="7" borderId="116" xfId="0" applyFont="1" applyFill="1" applyBorder="1" applyAlignment="1">
      <alignment horizontal="center" wrapText="1"/>
    </xf>
    <xf numFmtId="0" fontId="5" fillId="0" borderId="20" xfId="0" applyFont="1" applyBorder="1" applyAlignment="1">
      <alignment vertical="top" wrapText="1"/>
    </xf>
    <xf numFmtId="0" fontId="4" fillId="7" borderId="120" xfId="0" applyFont="1" applyFill="1" applyBorder="1" applyAlignment="1">
      <alignment wrapText="1"/>
    </xf>
    <xf numFmtId="0" fontId="12" fillId="7" borderId="121" xfId="0" applyFont="1" applyFill="1" applyBorder="1" applyAlignment="1">
      <alignment horizontal="center" wrapText="1"/>
    </xf>
    <xf numFmtId="0" fontId="12" fillId="3" borderId="26" xfId="0" applyFont="1" applyFill="1" applyBorder="1" applyAlignment="1">
      <alignment vertical="top" wrapText="1"/>
    </xf>
    <xf numFmtId="0" fontId="5" fillId="0" borderId="22" xfId="0" applyFont="1" applyBorder="1" applyAlignment="1">
      <alignment wrapText="1"/>
    </xf>
    <xf numFmtId="0" fontId="4" fillId="7" borderId="25" xfId="0" applyFont="1" applyFill="1" applyBorder="1" applyAlignment="1">
      <alignment wrapText="1"/>
    </xf>
    <xf numFmtId="0" fontId="12" fillId="7" borderId="26" xfId="0" applyFont="1" applyFill="1" applyBorder="1" applyAlignment="1">
      <alignment horizontal="center" wrapText="1"/>
    </xf>
    <xf numFmtId="9" fontId="1" fillId="7" borderId="26" xfId="0" applyNumberFormat="1" applyFont="1" applyFill="1" applyBorder="1" applyAlignment="1">
      <alignment wrapText="1"/>
    </xf>
    <xf numFmtId="9" fontId="1" fillId="7" borderId="27" xfId="0" applyNumberFormat="1" applyFont="1" applyFill="1" applyBorder="1" applyAlignment="1">
      <alignment wrapText="1"/>
    </xf>
    <xf numFmtId="0" fontId="12" fillId="0" borderId="22" xfId="0" applyFont="1" applyBorder="1" applyAlignment="1">
      <alignment wrapText="1"/>
    </xf>
    <xf numFmtId="0" fontId="4" fillId="3" borderId="25" xfId="0" applyFont="1" applyFill="1" applyBorder="1" applyAlignment="1">
      <alignment wrapText="1"/>
    </xf>
    <xf numFmtId="0" fontId="12" fillId="0" borderId="22" xfId="0" applyFont="1" applyBorder="1" applyAlignment="1">
      <alignment vertical="top" wrapText="1"/>
    </xf>
    <xf numFmtId="0" fontId="7" fillId="7" borderId="22" xfId="0" applyFont="1" applyFill="1" applyBorder="1" applyAlignment="1">
      <alignment wrapText="1"/>
    </xf>
    <xf numFmtId="0" fontId="12" fillId="0" borderId="25" xfId="0" applyFont="1" applyBorder="1" applyAlignment="1">
      <alignment vertical="top" wrapText="1"/>
    </xf>
    <xf numFmtId="0" fontId="4" fillId="3" borderId="22" xfId="0" applyFont="1" applyFill="1" applyBorder="1" applyAlignment="1">
      <alignment wrapText="1"/>
    </xf>
    <xf numFmtId="0" fontId="12" fillId="3" borderId="23" xfId="0" applyFont="1" applyFill="1" applyBorder="1" applyAlignment="1">
      <alignment horizontal="center" wrapText="1"/>
    </xf>
    <xf numFmtId="9" fontId="12" fillId="3" borderId="23" xfId="0" applyNumberFormat="1" applyFont="1" applyFill="1" applyBorder="1" applyAlignment="1">
      <alignment wrapText="1"/>
    </xf>
    <xf numFmtId="9" fontId="12" fillId="3" borderId="24" xfId="0" applyNumberFormat="1" applyFont="1" applyFill="1" applyBorder="1" applyAlignment="1">
      <alignment wrapText="1"/>
    </xf>
    <xf numFmtId="0" fontId="4" fillId="3" borderId="23" xfId="0" applyFont="1" applyFill="1" applyBorder="1" applyAlignment="1">
      <alignment wrapText="1"/>
    </xf>
    <xf numFmtId="0" fontId="5" fillId="0" borderId="23" xfId="0" applyFont="1" applyBorder="1" applyAlignment="1">
      <alignment wrapText="1"/>
    </xf>
    <xf numFmtId="0" fontId="5" fillId="0" borderId="25" xfId="0" applyFont="1" applyBorder="1" applyAlignment="1">
      <alignment wrapText="1"/>
    </xf>
    <xf numFmtId="0" fontId="5" fillId="7" borderId="25" xfId="0" applyFont="1" applyFill="1" applyBorder="1" applyAlignment="1">
      <alignment vertical="top" wrapText="1"/>
    </xf>
    <xf numFmtId="0" fontId="12" fillId="7" borderId="27" xfId="0" applyFont="1" applyFill="1" applyBorder="1" applyAlignment="1">
      <alignment horizontal="center" vertical="top" wrapText="1"/>
    </xf>
    <xf numFmtId="0" fontId="12" fillId="0" borderId="23" xfId="0" applyFont="1" applyBorder="1" applyAlignment="1">
      <alignment wrapText="1"/>
    </xf>
    <xf numFmtId="0" fontId="12" fillId="0" borderId="24" xfId="0" applyFont="1" applyBorder="1" applyAlignment="1">
      <alignment wrapText="1"/>
    </xf>
    <xf numFmtId="0" fontId="4" fillId="0" borderId="11" xfId="0" applyFont="1" applyBorder="1" applyAlignment="1">
      <alignment wrapText="1"/>
    </xf>
    <xf numFmtId="165" fontId="5" fillId="7" borderId="30" xfId="2" applyNumberFormat="1" applyFont="1" applyFill="1" applyBorder="1" applyAlignment="1">
      <alignment horizontal="center" vertical="top" wrapText="1"/>
    </xf>
    <xf numFmtId="1" fontId="31" fillId="0" borderId="30" xfId="0" applyNumberFormat="1" applyFont="1" applyBorder="1" applyAlignment="1">
      <alignment horizontal="center" wrapText="1"/>
    </xf>
    <xf numFmtId="0" fontId="5" fillId="0" borderId="11" xfId="0" applyNumberFormat="1" applyFont="1" applyBorder="1" applyAlignment="1">
      <alignment horizontal="center" vertical="top" wrapText="1"/>
    </xf>
    <xf numFmtId="2" fontId="5" fillId="3" borderId="70" xfId="0" applyNumberFormat="1" applyFont="1" applyFill="1" applyBorder="1" applyAlignment="1">
      <alignment horizontal="center" wrapText="1"/>
    </xf>
    <xf numFmtId="0" fontId="5" fillId="0" borderId="0" xfId="0" applyFont="1" applyFill="1" applyBorder="1" applyAlignment="1">
      <alignment horizontal="center" wrapText="1"/>
    </xf>
    <xf numFmtId="0" fontId="32" fillId="0" borderId="0" xfId="0" applyFont="1"/>
    <xf numFmtId="0" fontId="5" fillId="0" borderId="0" xfId="0" applyFont="1" applyFill="1" applyBorder="1" applyAlignment="1">
      <alignment vertical="top" wrapText="1"/>
    </xf>
    <xf numFmtId="0" fontId="12" fillId="7" borderId="26" xfId="0" applyFont="1" applyFill="1" applyBorder="1" applyAlignment="1">
      <alignment horizontal="center" vertical="top" wrapText="1"/>
    </xf>
    <xf numFmtId="0" fontId="12" fillId="7" borderId="23" xfId="0" applyFont="1" applyFill="1" applyBorder="1" applyAlignment="1">
      <alignment vertical="top" wrapText="1"/>
    </xf>
    <xf numFmtId="0" fontId="12" fillId="7" borderId="24" xfId="0" applyFont="1" applyFill="1" applyBorder="1" applyAlignment="1">
      <alignment vertical="top" wrapText="1"/>
    </xf>
    <xf numFmtId="0" fontId="12" fillId="7" borderId="26" xfId="0" applyFont="1" applyFill="1" applyBorder="1" applyAlignment="1">
      <alignment vertical="top" wrapText="1"/>
    </xf>
    <xf numFmtId="0" fontId="7" fillId="7" borderId="23" xfId="0" applyFont="1" applyFill="1" applyBorder="1" applyAlignment="1">
      <alignment horizontal="center" wrapText="1"/>
    </xf>
    <xf numFmtId="0" fontId="7" fillId="7" borderId="23" xfId="0" applyFont="1" applyFill="1" applyBorder="1" applyAlignment="1">
      <alignment wrapText="1"/>
    </xf>
    <xf numFmtId="0" fontId="11" fillId="0" borderId="25" xfId="0" applyFont="1" applyBorder="1" applyAlignment="1">
      <alignment vertical="top" wrapText="1"/>
    </xf>
    <xf numFmtId="0" fontId="7" fillId="0" borderId="23" xfId="0" applyFont="1" applyFill="1" applyBorder="1" applyAlignment="1">
      <alignment horizontal="center" wrapText="1"/>
    </xf>
    <xf numFmtId="0" fontId="39" fillId="0" borderId="23" xfId="4" applyFont="1" applyBorder="1" applyAlignment="1">
      <alignment horizontal="center" wrapText="1"/>
    </xf>
    <xf numFmtId="0" fontId="39" fillId="0" borderId="24" xfId="4" applyFont="1" applyBorder="1" applyAlignment="1">
      <alignment horizontal="center" wrapText="1"/>
    </xf>
    <xf numFmtId="0" fontId="31" fillId="0" borderId="22" xfId="4" applyFont="1" applyBorder="1" applyAlignment="1">
      <alignment vertical="top" wrapText="1"/>
    </xf>
    <xf numFmtId="0" fontId="31" fillId="13" borderId="23" xfId="4" applyFont="1" applyFill="1" applyBorder="1" applyAlignment="1">
      <alignment horizontal="center" wrapText="1"/>
    </xf>
    <xf numFmtId="0" fontId="31" fillId="0" borderId="24" xfId="4" applyFont="1" applyBorder="1" applyAlignment="1">
      <alignment horizontal="center" wrapText="1"/>
    </xf>
    <xf numFmtId="0" fontId="31" fillId="0" borderId="22" xfId="4" applyFont="1" applyFill="1" applyBorder="1" applyAlignment="1">
      <alignment vertical="top" wrapText="1"/>
    </xf>
    <xf numFmtId="0" fontId="38" fillId="12" borderId="25" xfId="4" applyFont="1" applyFill="1" applyBorder="1" applyAlignment="1">
      <alignment wrapText="1"/>
    </xf>
    <xf numFmtId="0" fontId="39" fillId="12" borderId="26" xfId="4" applyFont="1" applyFill="1" applyBorder="1" applyAlignment="1">
      <alignment horizontal="center" vertical="top" wrapText="1"/>
    </xf>
    <xf numFmtId="0" fontId="39" fillId="0" borderId="27" xfId="4" applyFont="1" applyFill="1" applyBorder="1" applyAlignment="1">
      <alignment vertical="center" wrapText="1"/>
    </xf>
    <xf numFmtId="0" fontId="39" fillId="0" borderId="23" xfId="3" applyFont="1" applyBorder="1" applyAlignment="1">
      <alignment horizontal="center" wrapText="1"/>
    </xf>
    <xf numFmtId="0" fontId="39" fillId="0" borderId="24" xfId="3" applyFont="1" applyBorder="1" applyAlignment="1">
      <alignment horizontal="center" wrapText="1"/>
    </xf>
    <xf numFmtId="0" fontId="31" fillId="0" borderId="22" xfId="3" applyFont="1" applyBorder="1" applyAlignment="1">
      <alignment vertical="top" wrapText="1"/>
    </xf>
    <xf numFmtId="0" fontId="31" fillId="0" borderId="23" xfId="3" applyFont="1" applyBorder="1" applyAlignment="1">
      <alignment horizontal="center" wrapText="1"/>
    </xf>
    <xf numFmtId="0" fontId="31" fillId="13" borderId="23" xfId="3" applyFont="1" applyFill="1" applyBorder="1" applyAlignment="1">
      <alignment horizontal="center" wrapText="1"/>
    </xf>
    <xf numFmtId="0" fontId="31" fillId="0" borderId="24" xfId="3" applyFont="1" applyBorder="1" applyAlignment="1">
      <alignment horizontal="center" wrapText="1"/>
    </xf>
    <xf numFmtId="0" fontId="31" fillId="0" borderId="22" xfId="3" applyFont="1" applyFill="1" applyBorder="1" applyAlignment="1">
      <alignment vertical="top" wrapText="1"/>
    </xf>
    <xf numFmtId="0" fontId="38" fillId="12" borderId="25" xfId="3" applyFont="1" applyFill="1" applyBorder="1" applyAlignment="1">
      <alignment wrapText="1"/>
    </xf>
    <xf numFmtId="0" fontId="39" fillId="12" borderId="26" xfId="3" applyFont="1" applyFill="1" applyBorder="1" applyAlignment="1">
      <alignment horizontal="center" vertical="top" wrapText="1"/>
    </xf>
    <xf numFmtId="0" fontId="39" fillId="0" borderId="27" xfId="3" applyFont="1" applyFill="1" applyBorder="1" applyAlignment="1">
      <alignment vertical="center" wrapText="1"/>
    </xf>
    <xf numFmtId="9" fontId="4" fillId="0" borderId="23" xfId="2" applyFont="1" applyBorder="1" applyAlignment="1">
      <alignment horizontal="center" wrapText="1"/>
    </xf>
    <xf numFmtId="0" fontId="7" fillId="0" borderId="137" xfId="0" applyFont="1" applyBorder="1" applyAlignment="1">
      <alignment wrapText="1"/>
    </xf>
    <xf numFmtId="0" fontId="44" fillId="0" borderId="37" xfId="0" applyFont="1" applyBorder="1" applyAlignment="1">
      <alignment horizontal="center" wrapText="1"/>
    </xf>
    <xf numFmtId="0" fontId="44" fillId="16" borderId="37" xfId="0" applyFont="1" applyFill="1" applyBorder="1" applyAlignment="1">
      <alignment horizontal="center" wrapText="1"/>
    </xf>
    <xf numFmtId="0" fontId="20" fillId="0" borderId="11" xfId="0" applyFont="1" applyBorder="1" applyAlignment="1">
      <alignment vertical="top" wrapText="1"/>
    </xf>
    <xf numFmtId="165" fontId="46" fillId="16" borderId="64" xfId="0" applyNumberFormat="1" applyFont="1" applyFill="1" applyBorder="1" applyAlignment="1">
      <alignment horizontal="center" vertical="top" wrapText="1"/>
    </xf>
    <xf numFmtId="0" fontId="44" fillId="16" borderId="64" xfId="0" applyFont="1" applyFill="1" applyBorder="1" applyAlignment="1">
      <alignment vertical="top" wrapText="1"/>
    </xf>
    <xf numFmtId="0" fontId="46" fillId="16" borderId="30" xfId="0" applyFont="1" applyFill="1" applyBorder="1" applyAlignment="1">
      <alignment horizontal="center" vertical="top" wrapText="1"/>
    </xf>
    <xf numFmtId="0" fontId="44" fillId="16" borderId="11" xfId="0" applyFont="1" applyFill="1" applyBorder="1" applyAlignment="1">
      <alignment vertical="top" wrapText="1"/>
    </xf>
    <xf numFmtId="0" fontId="44" fillId="16" borderId="48" xfId="0" applyFont="1" applyFill="1" applyBorder="1" applyAlignment="1">
      <alignment wrapText="1"/>
    </xf>
    <xf numFmtId="0" fontId="46" fillId="16" borderId="30" xfId="0" applyFont="1" applyFill="1" applyBorder="1" applyAlignment="1">
      <alignment horizontal="center" wrapText="1"/>
    </xf>
    <xf numFmtId="0" fontId="44" fillId="16" borderId="71" xfId="0" applyFont="1" applyFill="1" applyBorder="1" applyAlignment="1">
      <alignment wrapText="1"/>
    </xf>
    <xf numFmtId="0" fontId="46" fillId="16" borderId="71" xfId="0" applyFont="1" applyFill="1" applyBorder="1" applyAlignment="1">
      <alignment horizontal="center" wrapText="1"/>
    </xf>
    <xf numFmtId="10" fontId="12" fillId="3" borderId="23" xfId="0" applyNumberFormat="1" applyFont="1" applyFill="1" applyBorder="1" applyAlignment="1">
      <alignment vertical="top" wrapText="1"/>
    </xf>
    <xf numFmtId="10" fontId="0" fillId="0" borderId="0" xfId="0" applyNumberFormat="1"/>
    <xf numFmtId="0" fontId="5" fillId="0" borderId="40" xfId="0" applyFont="1" applyBorder="1" applyAlignment="1">
      <alignment horizontal="center" wrapText="1"/>
    </xf>
    <xf numFmtId="0" fontId="0" fillId="0" borderId="0" xfId="0" quotePrefix="1"/>
    <xf numFmtId="10" fontId="5" fillId="7" borderId="40" xfId="0" applyNumberFormat="1" applyFont="1" applyFill="1" applyBorder="1" applyAlignment="1">
      <alignment horizontal="center" vertical="top" wrapText="1"/>
    </xf>
    <xf numFmtId="0" fontId="31" fillId="4" borderId="40" xfId="0" applyFont="1" applyFill="1" applyBorder="1" applyAlignment="1">
      <alignment horizontal="center" wrapText="1"/>
    </xf>
    <xf numFmtId="0" fontId="31" fillId="0" borderId="40" xfId="0" applyFont="1" applyBorder="1" applyAlignment="1">
      <alignment horizontal="center" wrapText="1"/>
    </xf>
    <xf numFmtId="0" fontId="4" fillId="5" borderId="41" xfId="0" applyFont="1" applyFill="1" applyBorder="1" applyAlignment="1">
      <alignment horizontal="center" wrapText="1"/>
    </xf>
    <xf numFmtId="0" fontId="31" fillId="0" borderId="40" xfId="0" quotePrefix="1" applyFont="1" applyBorder="1" applyAlignment="1">
      <alignment horizontal="center" wrapText="1"/>
    </xf>
    <xf numFmtId="0" fontId="31" fillId="0" borderId="64" xfId="0" quotePrefix="1" applyFont="1" applyBorder="1" applyAlignment="1">
      <alignment horizontal="center" wrapText="1"/>
    </xf>
    <xf numFmtId="0" fontId="38" fillId="4" borderId="30" xfId="0" applyFont="1" applyFill="1" applyBorder="1" applyAlignment="1">
      <alignment horizontal="center" wrapText="1"/>
    </xf>
    <xf numFmtId="0" fontId="4" fillId="0" borderId="23" xfId="0" applyFont="1" applyBorder="1" applyAlignment="1">
      <alignment wrapText="1"/>
    </xf>
    <xf numFmtId="0" fontId="4" fillId="0" borderId="23" xfId="0" applyFont="1" applyBorder="1" applyAlignment="1">
      <alignment horizontal="center" wrapText="1"/>
    </xf>
    <xf numFmtId="0" fontId="4" fillId="3" borderId="23" xfId="0" applyFont="1" applyFill="1" applyBorder="1" applyAlignment="1">
      <alignment horizontal="center" wrapText="1"/>
    </xf>
    <xf numFmtId="0" fontId="4" fillId="3" borderId="24" xfId="0" applyFont="1" applyFill="1" applyBorder="1" applyAlignment="1">
      <alignment horizontal="center" wrapText="1"/>
    </xf>
    <xf numFmtId="0" fontId="5" fillId="0" borderId="23" xfId="0" applyFont="1" applyBorder="1" applyAlignment="1">
      <alignment vertical="top" wrapText="1"/>
    </xf>
    <xf numFmtId="0" fontId="5" fillId="0" borderId="115" xfId="0" applyFont="1" applyBorder="1" applyAlignment="1">
      <alignment vertical="top" wrapText="1"/>
    </xf>
    <xf numFmtId="0" fontId="5" fillId="0" borderId="22" xfId="0" applyFont="1" applyBorder="1" applyAlignment="1">
      <alignment vertical="top" wrapText="1"/>
    </xf>
    <xf numFmtId="0" fontId="31" fillId="7" borderId="64" xfId="0" applyFont="1" applyFill="1" applyBorder="1" applyAlignment="1">
      <alignment horizontal="center" wrapText="1"/>
    </xf>
    <xf numFmtId="0" fontId="50" fillId="0" borderId="0" xfId="0" applyFont="1" applyAlignment="1">
      <alignment horizontal="center" wrapText="1"/>
    </xf>
    <xf numFmtId="0" fontId="5" fillId="7" borderId="141" xfId="0" applyFont="1" applyFill="1" applyBorder="1" applyAlignment="1">
      <alignment horizontal="center" wrapText="1"/>
    </xf>
    <xf numFmtId="0" fontId="51" fillId="0" borderId="0" xfId="0" applyFont="1" applyAlignment="1">
      <alignment horizontal="center" wrapText="1"/>
    </xf>
    <xf numFmtId="0" fontId="50" fillId="0" borderId="0" xfId="0" applyFont="1" applyFill="1" applyBorder="1" applyAlignment="1">
      <alignment horizontal="center" wrapText="1"/>
    </xf>
    <xf numFmtId="0" fontId="4" fillId="0" borderId="23" xfId="0" applyFont="1" applyBorder="1" applyAlignment="1">
      <alignment wrapText="1"/>
    </xf>
    <xf numFmtId="0" fontId="7" fillId="0" borderId="23" xfId="0" applyFont="1" applyBorder="1" applyAlignment="1">
      <alignment horizontal="center" wrapText="1"/>
    </xf>
    <xf numFmtId="0" fontId="4" fillId="0" borderId="23" xfId="0" applyFont="1" applyBorder="1" applyAlignment="1">
      <alignment horizontal="center" wrapText="1"/>
    </xf>
    <xf numFmtId="0" fontId="4" fillId="3" borderId="23" xfId="0" applyFont="1" applyFill="1" applyBorder="1" applyAlignment="1">
      <alignment horizontal="center" wrapText="1"/>
    </xf>
    <xf numFmtId="0" fontId="4" fillId="3" borderId="24" xfId="0" applyFont="1" applyFill="1" applyBorder="1" applyAlignment="1">
      <alignment horizontal="center" wrapText="1"/>
    </xf>
    <xf numFmtId="0" fontId="5" fillId="0" borderId="22" xfId="0" applyFont="1" applyBorder="1" applyAlignment="1">
      <alignment vertical="top" wrapText="1"/>
    </xf>
    <xf numFmtId="0" fontId="12" fillId="7" borderId="23" xfId="0" applyFont="1" applyFill="1" applyBorder="1" applyAlignment="1">
      <alignment horizontal="center" vertical="top" wrapText="1"/>
    </xf>
    <xf numFmtId="0" fontId="5" fillId="0" borderId="23" xfId="0" applyFont="1" applyBorder="1" applyAlignment="1">
      <alignment vertical="top" wrapText="1"/>
    </xf>
    <xf numFmtId="10" fontId="12" fillId="3" borderId="23" xfId="0" applyNumberFormat="1" applyFont="1" applyFill="1" applyBorder="1" applyAlignment="1">
      <alignment horizontal="center" vertical="top" wrapText="1"/>
    </xf>
    <xf numFmtId="10" fontId="12" fillId="3" borderId="24" xfId="0" applyNumberFormat="1" applyFont="1" applyFill="1" applyBorder="1" applyAlignment="1">
      <alignment vertical="top" wrapText="1"/>
    </xf>
    <xf numFmtId="10" fontId="12" fillId="10" borderId="24" xfId="0" applyNumberFormat="1" applyFont="1" applyFill="1" applyBorder="1" applyAlignment="1">
      <alignment vertical="top" wrapText="1"/>
    </xf>
    <xf numFmtId="10" fontId="12" fillId="7" borderId="24" xfId="0" applyNumberFormat="1" applyFont="1" applyFill="1" applyBorder="1" applyAlignment="1">
      <alignment vertical="top" wrapText="1"/>
    </xf>
    <xf numFmtId="10" fontId="12" fillId="7" borderId="23" xfId="0" applyNumberFormat="1" applyFont="1" applyFill="1" applyBorder="1" applyAlignment="1">
      <alignment vertical="top" wrapText="1"/>
    </xf>
    <xf numFmtId="10" fontId="12" fillId="7" borderId="23" xfId="0" applyNumberFormat="1" applyFont="1" applyFill="1" applyBorder="1" applyAlignment="1">
      <alignment horizontal="center" vertical="top" wrapText="1"/>
    </xf>
    <xf numFmtId="10" fontId="12" fillId="7" borderId="26" xfId="0" applyNumberFormat="1" applyFont="1" applyFill="1" applyBorder="1" applyAlignment="1">
      <alignment vertical="top" wrapText="1"/>
    </xf>
    <xf numFmtId="10" fontId="12" fillId="7" borderId="26" xfId="0" applyNumberFormat="1" applyFont="1" applyFill="1" applyBorder="1" applyAlignment="1">
      <alignment horizontal="center" vertical="top" wrapText="1"/>
    </xf>
    <xf numFmtId="10" fontId="12" fillId="7" borderId="27" xfId="0" applyNumberFormat="1" applyFont="1" applyFill="1" applyBorder="1" applyAlignment="1">
      <alignment vertical="top" wrapText="1"/>
    </xf>
    <xf numFmtId="0" fontId="4" fillId="0" borderId="40" xfId="0" applyFont="1" applyBorder="1" applyAlignment="1">
      <alignment horizontal="center" wrapText="1"/>
    </xf>
    <xf numFmtId="0" fontId="5" fillId="0" borderId="40" xfId="0" applyFont="1" applyBorder="1" applyAlignment="1">
      <alignment horizontal="center" wrapText="1"/>
    </xf>
    <xf numFmtId="0" fontId="31" fillId="0" borderId="11" xfId="0" applyFont="1" applyBorder="1" applyAlignment="1">
      <alignment horizontal="center" wrapText="1"/>
    </xf>
    <xf numFmtId="0" fontId="5" fillId="0" borderId="40" xfId="0" applyFont="1" applyBorder="1" applyAlignment="1">
      <alignment horizontal="center" wrapText="1"/>
    </xf>
    <xf numFmtId="0" fontId="52" fillId="0" borderId="0" xfId="0" applyFont="1"/>
    <xf numFmtId="0" fontId="5" fillId="0" borderId="0" xfId="0" applyFont="1" applyAlignment="1"/>
    <xf numFmtId="0" fontId="5" fillId="0" borderId="40" xfId="0" applyFont="1" applyBorder="1" applyAlignment="1">
      <alignment horizontal="center" wrapText="1"/>
    </xf>
    <xf numFmtId="166" fontId="5" fillId="0" borderId="40" xfId="0" applyNumberFormat="1" applyFont="1" applyBorder="1" applyAlignment="1">
      <alignment horizontal="center" wrapText="1"/>
    </xf>
    <xf numFmtId="0" fontId="0" fillId="0" borderId="0" xfId="0" applyFill="1" applyBorder="1"/>
    <xf numFmtId="0" fontId="50" fillId="0" borderId="29" xfId="0" applyFont="1" applyBorder="1" applyAlignment="1">
      <alignment horizontal="center" wrapText="1"/>
    </xf>
    <xf numFmtId="0" fontId="50" fillId="0" borderId="141" xfId="0" applyFont="1" applyBorder="1" applyAlignment="1">
      <alignment horizontal="center" wrapText="1"/>
    </xf>
    <xf numFmtId="0" fontId="5" fillId="3" borderId="141" xfId="0" applyFont="1" applyFill="1" applyBorder="1" applyAlignment="1">
      <alignment horizontal="center" wrapText="1"/>
    </xf>
    <xf numFmtId="2" fontId="5" fillId="3" borderId="141" xfId="0" applyNumberFormat="1" applyFont="1" applyFill="1" applyBorder="1" applyAlignment="1">
      <alignment horizontal="center" wrapText="1"/>
    </xf>
    <xf numFmtId="0" fontId="4" fillId="0" borderId="23" xfId="0" applyFont="1" applyBorder="1" applyAlignment="1">
      <alignment wrapText="1"/>
    </xf>
    <xf numFmtId="0" fontId="4" fillId="0" borderId="26" xfId="0" applyFont="1" applyBorder="1" applyAlignment="1">
      <alignment wrapText="1"/>
    </xf>
    <xf numFmtId="0" fontId="12" fillId="0" borderId="23" xfId="0" applyFont="1" applyBorder="1" applyAlignment="1">
      <alignment horizontal="center" wrapText="1"/>
    </xf>
    <xf numFmtId="0" fontId="4" fillId="0" borderId="23" xfId="0" applyFont="1" applyBorder="1" applyAlignment="1">
      <alignment horizontal="center" wrapText="1"/>
    </xf>
    <xf numFmtId="0" fontId="7" fillId="0" borderId="23" xfId="0" applyFont="1" applyBorder="1" applyAlignment="1">
      <alignment horizontal="center" wrapText="1"/>
    </xf>
    <xf numFmtId="0" fontId="4" fillId="2" borderId="22" xfId="0" applyFont="1" applyFill="1" applyBorder="1" applyAlignment="1">
      <alignment wrapText="1"/>
    </xf>
    <xf numFmtId="0" fontId="4" fillId="2" borderId="23" xfId="0" applyFont="1" applyFill="1" applyBorder="1" applyAlignment="1">
      <alignment wrapText="1"/>
    </xf>
    <xf numFmtId="0" fontId="4" fillId="2" borderId="24" xfId="0" applyFont="1" applyFill="1" applyBorder="1" applyAlignment="1">
      <alignment wrapText="1"/>
    </xf>
    <xf numFmtId="0" fontId="5" fillId="0" borderId="23" xfId="0" applyFont="1" applyBorder="1" applyAlignment="1">
      <alignment horizontal="center" wrapText="1"/>
    </xf>
    <xf numFmtId="0" fontId="5" fillId="0" borderId="24" xfId="0" applyFont="1" applyBorder="1" applyAlignment="1">
      <alignment horizontal="center" wrapText="1"/>
    </xf>
    <xf numFmtId="0" fontId="4" fillId="2" borderId="22" xfId="0" applyFont="1" applyFill="1" applyBorder="1" applyAlignment="1">
      <alignment vertical="top" wrapText="1"/>
    </xf>
    <xf numFmtId="0" fontId="4" fillId="2" borderId="23" xfId="0" applyFont="1" applyFill="1" applyBorder="1" applyAlignment="1">
      <alignment vertical="top" wrapText="1"/>
    </xf>
    <xf numFmtId="0" fontId="4" fillId="2" borderId="24" xfId="0" applyFont="1" applyFill="1" applyBorder="1" applyAlignment="1">
      <alignment vertical="top" wrapText="1"/>
    </xf>
    <xf numFmtId="0" fontId="4" fillId="3" borderId="23" xfId="0" applyFont="1" applyFill="1" applyBorder="1" applyAlignment="1">
      <alignment horizontal="center" wrapText="1"/>
    </xf>
    <xf numFmtId="0" fontId="4" fillId="3" borderId="24" xfId="0" applyFont="1" applyFill="1" applyBorder="1" applyAlignment="1">
      <alignment horizontal="center" wrapText="1"/>
    </xf>
    <xf numFmtId="0" fontId="12" fillId="3" borderId="26" xfId="0" applyFont="1" applyFill="1" applyBorder="1" applyAlignment="1">
      <alignment horizontal="center" wrapText="1"/>
    </xf>
    <xf numFmtId="10" fontId="12" fillId="3" borderId="23" xfId="0" applyNumberFormat="1" applyFont="1" applyFill="1" applyBorder="1" applyAlignment="1">
      <alignment vertical="top" wrapText="1"/>
    </xf>
    <xf numFmtId="0" fontId="12" fillId="3" borderId="115" xfId="0" applyFont="1" applyFill="1" applyBorder="1" applyAlignment="1">
      <alignment horizontal="center" vertical="top" wrapText="1"/>
    </xf>
    <xf numFmtId="0" fontId="5" fillId="0" borderId="115" xfId="0" applyFont="1" applyBorder="1" applyAlignment="1">
      <alignment horizontal="center" vertical="top" wrapText="1"/>
    </xf>
    <xf numFmtId="0" fontId="12" fillId="3" borderId="23" xfId="0" applyFont="1" applyFill="1" applyBorder="1" applyAlignment="1">
      <alignment horizontal="center" vertical="top" wrapText="1"/>
    </xf>
    <xf numFmtId="0" fontId="11" fillId="0" borderId="22" xfId="0" applyFont="1" applyBorder="1" applyAlignment="1">
      <alignment vertical="top" wrapText="1"/>
    </xf>
    <xf numFmtId="0" fontId="5" fillId="0" borderId="23" xfId="0" applyFont="1" applyBorder="1" applyAlignment="1">
      <alignment horizontal="center" vertical="top" wrapText="1"/>
    </xf>
    <xf numFmtId="0" fontId="12" fillId="7" borderId="23" xfId="0" applyFont="1" applyFill="1" applyBorder="1" applyAlignment="1">
      <alignment horizontal="center" vertical="top" wrapText="1"/>
    </xf>
    <xf numFmtId="0" fontId="5" fillId="0" borderId="24" xfId="0" applyFont="1" applyBorder="1" applyAlignment="1">
      <alignment horizontal="center" vertical="top" wrapText="1"/>
    </xf>
    <xf numFmtId="0" fontId="5" fillId="0" borderId="23" xfId="0" applyFont="1" applyBorder="1" applyAlignment="1">
      <alignment vertical="top" wrapText="1"/>
    </xf>
    <xf numFmtId="0" fontId="5" fillId="0" borderId="22" xfId="0" applyFont="1" applyBorder="1" applyAlignment="1">
      <alignment vertical="top" wrapText="1"/>
    </xf>
    <xf numFmtId="10" fontId="12" fillId="3" borderId="24" xfId="0" applyNumberFormat="1" applyFont="1" applyFill="1" applyBorder="1" applyAlignment="1">
      <alignment horizontal="center" vertical="top" wrapText="1"/>
    </xf>
    <xf numFmtId="0" fontId="20" fillId="0" borderId="11" xfId="0" applyFont="1" applyBorder="1" applyAlignment="1">
      <alignment horizontal="center" vertical="top" wrapText="1"/>
    </xf>
    <xf numFmtId="9" fontId="20" fillId="16" borderId="64" xfId="0" applyNumberFormat="1" applyFont="1" applyFill="1" applyBorder="1" applyAlignment="1">
      <alignment horizontal="center" vertical="top" wrapText="1"/>
    </xf>
    <xf numFmtId="0" fontId="20" fillId="0" borderId="48" xfId="0" applyFont="1" applyBorder="1" applyAlignment="1">
      <alignment horizontal="center" vertical="top" wrapText="1"/>
    </xf>
    <xf numFmtId="9" fontId="46" fillId="16" borderId="11" xfId="0" applyNumberFormat="1" applyFont="1" applyFill="1" applyBorder="1" applyAlignment="1">
      <alignment horizontal="center" wrapText="1"/>
    </xf>
    <xf numFmtId="9" fontId="46" fillId="16" borderId="71" xfId="0" applyNumberFormat="1" applyFont="1" applyFill="1" applyBorder="1" applyAlignment="1">
      <alignment horizontal="center" wrapText="1"/>
    </xf>
    <xf numFmtId="9" fontId="5" fillId="3" borderId="121" xfId="0" applyNumberFormat="1" applyFont="1" applyFill="1" applyBorder="1" applyAlignment="1">
      <alignment horizontal="center" vertical="top" wrapText="1"/>
    </xf>
    <xf numFmtId="9" fontId="5" fillId="3" borderId="122" xfId="0" applyNumberFormat="1" applyFont="1" applyFill="1" applyBorder="1" applyAlignment="1">
      <alignment horizontal="center" vertical="top" wrapText="1"/>
    </xf>
    <xf numFmtId="0" fontId="12" fillId="3" borderId="124" xfId="0" applyFont="1" applyFill="1" applyBorder="1" applyAlignment="1">
      <alignment horizontal="center" vertical="top" wrapText="1"/>
    </xf>
    <xf numFmtId="9" fontId="5" fillId="3" borderId="124" xfId="0" applyNumberFormat="1" applyFont="1" applyFill="1" applyBorder="1" applyAlignment="1">
      <alignment horizontal="center" vertical="top" wrapText="1"/>
    </xf>
    <xf numFmtId="9" fontId="5" fillId="3" borderId="125" xfId="0" applyNumberFormat="1" applyFont="1" applyFill="1" applyBorder="1" applyAlignment="1">
      <alignment horizontal="center" vertical="top" wrapText="1"/>
    </xf>
    <xf numFmtId="10" fontId="12" fillId="7" borderId="5" xfId="0" applyNumberFormat="1" applyFont="1" applyFill="1" applyBorder="1" applyAlignment="1">
      <alignment horizontal="center" vertical="top" wrapText="1"/>
    </xf>
    <xf numFmtId="10" fontId="12" fillId="7" borderId="24" xfId="0" applyNumberFormat="1" applyFont="1" applyFill="1" applyBorder="1" applyAlignment="1">
      <alignment horizontal="center" vertical="top" wrapText="1"/>
    </xf>
    <xf numFmtId="10" fontId="12" fillId="7" borderId="21" xfId="0" applyNumberFormat="1" applyFont="1" applyFill="1" applyBorder="1" applyAlignment="1">
      <alignment horizontal="center" vertical="top" wrapText="1"/>
    </xf>
    <xf numFmtId="9" fontId="12" fillId="7" borderId="121" xfId="0" applyNumberFormat="1" applyFont="1" applyFill="1" applyBorder="1" applyAlignment="1">
      <alignment horizontal="center" wrapText="1"/>
    </xf>
    <xf numFmtId="9" fontId="12" fillId="7" borderId="122" xfId="0" applyNumberFormat="1" applyFont="1" applyFill="1" applyBorder="1" applyAlignment="1">
      <alignment horizontal="center" wrapText="1"/>
    </xf>
    <xf numFmtId="0" fontId="5" fillId="0" borderId="26" xfId="0" applyFont="1" applyBorder="1" applyAlignment="1">
      <alignment horizontal="center" vertical="top" wrapText="1"/>
    </xf>
    <xf numFmtId="10" fontId="12" fillId="3" borderId="26" xfId="0" applyNumberFormat="1" applyFont="1" applyFill="1" applyBorder="1" applyAlignment="1">
      <alignment horizontal="center" vertical="top" wrapText="1"/>
    </xf>
    <xf numFmtId="10" fontId="12" fillId="3" borderId="27" xfId="0" applyNumberFormat="1" applyFont="1" applyFill="1" applyBorder="1" applyAlignment="1">
      <alignment horizontal="center" vertical="top" wrapText="1"/>
    </xf>
    <xf numFmtId="9" fontId="12" fillId="7" borderId="23" xfId="0" applyNumberFormat="1" applyFont="1" applyFill="1" applyBorder="1" applyAlignment="1">
      <alignment horizontal="center" wrapText="1"/>
    </xf>
    <xf numFmtId="9" fontId="12" fillId="7" borderId="24" xfId="0" applyNumberFormat="1" applyFont="1" applyFill="1" applyBorder="1" applyAlignment="1">
      <alignment horizontal="center" wrapText="1"/>
    </xf>
    <xf numFmtId="0" fontId="12" fillId="0" borderId="23" xfId="0" applyFont="1" applyFill="1" applyBorder="1" applyAlignment="1">
      <alignment horizontal="center" vertical="top" wrapText="1"/>
    </xf>
    <xf numFmtId="9" fontId="12" fillId="3" borderId="23" xfId="0" applyNumberFormat="1" applyFont="1" applyFill="1" applyBorder="1" applyAlignment="1">
      <alignment horizontal="center" wrapText="1"/>
    </xf>
    <xf numFmtId="9" fontId="12" fillId="3" borderId="24" xfId="0" applyNumberFormat="1" applyFont="1" applyFill="1" applyBorder="1" applyAlignment="1">
      <alignment horizontal="center" wrapText="1"/>
    </xf>
    <xf numFmtId="10" fontId="12" fillId="3" borderId="115" xfId="0" applyNumberFormat="1" applyFont="1" applyFill="1" applyBorder="1" applyAlignment="1">
      <alignment vertical="center" wrapText="1"/>
    </xf>
    <xf numFmtId="10" fontId="12" fillId="3" borderId="23" xfId="0" applyNumberFormat="1" applyFont="1" applyFill="1" applyBorder="1" applyAlignment="1">
      <alignment vertical="center" wrapText="1"/>
    </xf>
    <xf numFmtId="10" fontId="12" fillId="3" borderId="24" xfId="0" applyNumberFormat="1" applyFont="1" applyFill="1" applyBorder="1" applyAlignment="1">
      <alignment vertical="center" wrapText="1"/>
    </xf>
    <xf numFmtId="10" fontId="12" fillId="3" borderId="26" xfId="0" applyNumberFormat="1" applyFont="1" applyFill="1" applyBorder="1" applyAlignment="1">
      <alignment vertical="center" wrapText="1"/>
    </xf>
    <xf numFmtId="10" fontId="12" fillId="3" borderId="27" xfId="0" applyNumberFormat="1" applyFont="1" applyFill="1" applyBorder="1" applyAlignment="1">
      <alignment vertical="center" wrapText="1"/>
    </xf>
    <xf numFmtId="0" fontId="1" fillId="0" borderId="66" xfId="0" applyFont="1" applyBorder="1" applyAlignment="1">
      <alignment horizontal="left"/>
    </xf>
    <xf numFmtId="0" fontId="1" fillId="0" borderId="8" xfId="0" applyFont="1" applyBorder="1" applyAlignment="1">
      <alignment horizontal="left"/>
    </xf>
    <xf numFmtId="0" fontId="1" fillId="0" borderId="92" xfId="0" applyFont="1" applyBorder="1" applyAlignment="1">
      <alignment horizontal="left"/>
    </xf>
    <xf numFmtId="0" fontId="1" fillId="0" borderId="93" xfId="0" applyFont="1" applyBorder="1" applyAlignment="1">
      <alignment horizontal="left"/>
    </xf>
    <xf numFmtId="0" fontId="1" fillId="0" borderId="9" xfId="0" applyFont="1" applyBorder="1" applyAlignment="1" applyProtection="1">
      <protection locked="0"/>
    </xf>
    <xf numFmtId="0" fontId="1" fillId="0" borderId="68" xfId="0" applyFont="1" applyBorder="1" applyAlignment="1" applyProtection="1">
      <protection locked="0"/>
    </xf>
    <xf numFmtId="0" fontId="1" fillId="0" borderId="94" xfId="0" applyFont="1" applyBorder="1" applyAlignment="1" applyProtection="1">
      <protection locked="0"/>
    </xf>
    <xf numFmtId="0" fontId="1" fillId="0" borderId="95" xfId="0" applyFont="1" applyBorder="1" applyAlignment="1" applyProtection="1">
      <protection locked="0"/>
    </xf>
    <xf numFmtId="0" fontId="1" fillId="0" borderId="11"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90" xfId="0" applyFont="1" applyBorder="1" applyAlignment="1" applyProtection="1">
      <protection locked="0"/>
    </xf>
    <xf numFmtId="0" fontId="1" fillId="0" borderId="91" xfId="0" applyFont="1" applyBorder="1" applyAlignment="1" applyProtection="1">
      <protection locked="0"/>
    </xf>
    <xf numFmtId="0" fontId="1" fillId="0" borderId="0" xfId="0" applyFont="1" applyAlignment="1">
      <alignment wrapText="1"/>
    </xf>
    <xf numFmtId="0" fontId="1" fillId="0" borderId="96" xfId="0" applyFont="1" applyBorder="1" applyAlignment="1">
      <alignment horizontal="left"/>
    </xf>
    <xf numFmtId="0" fontId="1" fillId="0" borderId="97" xfId="0" applyFont="1" applyBorder="1" applyAlignment="1">
      <alignment horizontal="left"/>
    </xf>
    <xf numFmtId="0" fontId="1" fillId="0" borderId="11" xfId="0" applyFont="1" applyBorder="1" applyAlignment="1" applyProtection="1">
      <protection locked="0"/>
    </xf>
    <xf numFmtId="0" fontId="1" fillId="0" borderId="10" xfId="0" applyFont="1" applyBorder="1" applyAlignment="1" applyProtection="1">
      <protection locked="0"/>
    </xf>
    <xf numFmtId="0" fontId="1" fillId="0" borderId="54" xfId="0" applyFont="1" applyBorder="1"/>
    <xf numFmtId="0" fontId="1" fillId="0" borderId="55" xfId="0" applyFont="1" applyBorder="1"/>
    <xf numFmtId="0" fontId="1" fillId="0" borderId="55" xfId="0" applyFont="1" applyBorder="1" applyAlignment="1">
      <alignment horizontal="right"/>
    </xf>
    <xf numFmtId="0" fontId="1" fillId="0" borderId="56" xfId="0" applyFont="1" applyBorder="1" applyAlignment="1">
      <alignment horizontal="right"/>
    </xf>
    <xf numFmtId="0" fontId="1" fillId="0" borderId="23" xfId="0" applyFont="1" applyBorder="1" applyAlignment="1">
      <alignment horizontal="right"/>
    </xf>
    <xf numFmtId="0" fontId="1" fillId="0" borderId="58" xfId="0" applyFont="1" applyBorder="1" applyAlignment="1">
      <alignment horizontal="right"/>
    </xf>
    <xf numFmtId="0" fontId="1" fillId="0" borderId="57" xfId="0" applyFont="1" applyBorder="1"/>
    <xf numFmtId="0" fontId="1" fillId="0" borderId="23" xfId="0" applyFont="1" applyBorder="1"/>
    <xf numFmtId="164" fontId="1" fillId="0" borderId="23" xfId="0" applyNumberFormat="1" applyFont="1" applyBorder="1" applyAlignment="1">
      <alignment horizontal="right"/>
    </xf>
    <xf numFmtId="164" fontId="1" fillId="0" borderId="58" xfId="0" applyNumberFormat="1" applyFont="1" applyBorder="1" applyAlignment="1">
      <alignment horizontal="right"/>
    </xf>
    <xf numFmtId="0" fontId="3" fillId="2" borderId="48" xfId="0" applyFont="1" applyFill="1" applyBorder="1" applyAlignment="1">
      <alignment horizontal="left"/>
    </xf>
    <xf numFmtId="0" fontId="3" fillId="2" borderId="18" xfId="0" applyFont="1" applyFill="1" applyBorder="1" applyAlignment="1">
      <alignment horizontal="left"/>
    </xf>
    <xf numFmtId="0" fontId="3" fillId="2" borderId="49" xfId="0" applyFont="1" applyFill="1" applyBorder="1" applyAlignment="1">
      <alignment horizontal="left"/>
    </xf>
    <xf numFmtId="0" fontId="2" fillId="2" borderId="39" xfId="0" applyFont="1" applyFill="1" applyBorder="1" applyAlignment="1">
      <alignment horizontal="left"/>
    </xf>
    <xf numFmtId="0" fontId="2" fillId="2" borderId="7" xfId="0" applyFont="1" applyFill="1" applyBorder="1" applyAlignment="1">
      <alignment horizontal="left"/>
    </xf>
    <xf numFmtId="0" fontId="2" fillId="2" borderId="40" xfId="0" applyFont="1" applyFill="1" applyBorder="1" applyAlignment="1">
      <alignment horizontal="left"/>
    </xf>
    <xf numFmtId="0" fontId="1" fillId="0" borderId="17" xfId="0" applyFont="1" applyBorder="1" applyAlignment="1">
      <alignment horizontal="right" vertical="center" wrapText="1"/>
    </xf>
    <xf numFmtId="0" fontId="1" fillId="0" borderId="33" xfId="0" applyFont="1" applyBorder="1" applyAlignment="1">
      <alignment horizontal="right" vertical="center" wrapText="1"/>
    </xf>
    <xf numFmtId="0" fontId="1" fillId="0" borderId="12" xfId="0" applyFont="1" applyBorder="1" applyAlignment="1">
      <alignment horizontal="right" vertical="center" wrapText="1"/>
    </xf>
    <xf numFmtId="0" fontId="1" fillId="0" borderId="31" xfId="0" applyFont="1" applyBorder="1" applyAlignment="1">
      <alignment horizontal="right" vertical="center" wrapText="1"/>
    </xf>
    <xf numFmtId="0" fontId="1" fillId="0" borderId="14" xfId="0" applyFont="1" applyBorder="1" applyAlignment="1">
      <alignment horizontal="right" vertical="center" wrapText="1"/>
    </xf>
    <xf numFmtId="0" fontId="1" fillId="0" borderId="32" xfId="0" applyFont="1" applyBorder="1" applyAlignment="1">
      <alignment horizontal="right" vertical="center" wrapText="1"/>
    </xf>
    <xf numFmtId="0" fontId="1" fillId="0" borderId="98" xfId="0" applyFont="1" applyBorder="1" applyAlignment="1">
      <alignment horizontal="left"/>
    </xf>
    <xf numFmtId="0" fontId="1" fillId="0" borderId="19" xfId="0" applyFont="1" applyBorder="1" applyAlignment="1">
      <alignment horizontal="left"/>
    </xf>
    <xf numFmtId="0" fontId="1" fillId="0" borderId="99" xfId="0" applyFont="1" applyBorder="1" applyAlignment="1">
      <alignment horizontal="left"/>
    </xf>
    <xf numFmtId="0" fontId="1" fillId="0" borderId="13" xfId="0" applyFont="1" applyBorder="1" applyAlignment="1">
      <alignment horizontal="left"/>
    </xf>
    <xf numFmtId="0" fontId="1" fillId="0" borderId="100" xfId="0" applyFont="1" applyBorder="1" applyAlignment="1">
      <alignment horizontal="left"/>
    </xf>
    <xf numFmtId="0" fontId="1" fillId="0" borderId="16" xfId="0" applyFont="1" applyBorder="1" applyAlignment="1">
      <alignment horizontal="left"/>
    </xf>
    <xf numFmtId="0" fontId="1" fillId="2" borderId="28" xfId="0" applyFont="1" applyFill="1" applyBorder="1"/>
    <xf numFmtId="0" fontId="1" fillId="2" borderId="29" xfId="0" applyFont="1" applyFill="1" applyBorder="1"/>
    <xf numFmtId="0" fontId="1" fillId="2" borderId="30" xfId="0" applyFont="1" applyFill="1" applyBorder="1"/>
    <xf numFmtId="0" fontId="1" fillId="0" borderId="62" xfId="0" applyFont="1" applyBorder="1" applyAlignment="1">
      <alignment horizontal="right"/>
    </xf>
    <xf numFmtId="0" fontId="1" fillId="0" borderId="75" xfId="0" applyFont="1" applyBorder="1" applyAlignment="1">
      <alignment horizontal="right"/>
    </xf>
    <xf numFmtId="0" fontId="1" fillId="2" borderId="39" xfId="0" applyFont="1" applyFill="1" applyBorder="1"/>
    <xf numFmtId="0" fontId="1" fillId="2" borderId="7" xfId="0" applyFont="1" applyFill="1" applyBorder="1"/>
    <xf numFmtId="0" fontId="1" fillId="2" borderId="40" xfId="0" applyFont="1" applyFill="1" applyBorder="1"/>
    <xf numFmtId="0" fontId="1" fillId="0" borderId="78" xfId="0" applyFont="1" applyBorder="1" applyAlignment="1">
      <alignment horizontal="right" wrapText="1"/>
    </xf>
    <xf numFmtId="0" fontId="1" fillId="0" borderId="63" xfId="0" applyFont="1" applyBorder="1" applyAlignment="1">
      <alignment horizontal="right" wrapText="1"/>
    </xf>
    <xf numFmtId="0" fontId="1" fillId="0" borderId="60" xfId="0" applyFont="1" applyBorder="1" applyAlignment="1">
      <alignment horizontal="right"/>
    </xf>
    <xf numFmtId="0" fontId="1" fillId="0" borderId="61" xfId="0" applyFont="1" applyBorder="1" applyAlignment="1">
      <alignment horizontal="right"/>
    </xf>
    <xf numFmtId="0" fontId="3" fillId="2" borderId="1" xfId="0" applyFont="1" applyFill="1" applyBorder="1"/>
    <xf numFmtId="0" fontId="1" fillId="2" borderId="6" xfId="0" applyFont="1" applyFill="1" applyBorder="1"/>
    <xf numFmtId="0" fontId="1" fillId="2" borderId="2" xfId="0" applyFont="1" applyFill="1" applyBorder="1"/>
    <xf numFmtId="0" fontId="2" fillId="2" borderId="3" xfId="0" applyFont="1" applyFill="1" applyBorder="1"/>
    <xf numFmtId="0" fontId="2" fillId="2" borderId="7" xfId="0" applyFont="1" applyFill="1" applyBorder="1"/>
    <xf numFmtId="0" fontId="2" fillId="2" borderId="4" xfId="0" applyFont="1" applyFill="1" applyBorder="1"/>
    <xf numFmtId="0" fontId="1" fillId="2" borderId="17" xfId="0" applyFont="1" applyFill="1" applyBorder="1"/>
    <xf numFmtId="0" fontId="1" fillId="2" borderId="18" xfId="0" applyFont="1" applyFill="1" applyBorder="1"/>
    <xf numFmtId="0" fontId="1" fillId="2" borderId="19" xfId="0" applyFont="1" applyFill="1" applyBorder="1"/>
    <xf numFmtId="0" fontId="1" fillId="0" borderId="17" xfId="0" applyFont="1" applyBorder="1" applyAlignment="1">
      <alignment horizontal="right" wrapText="1"/>
    </xf>
    <xf numFmtId="0" fontId="1" fillId="0" borderId="33" xfId="0" applyFont="1" applyBorder="1" applyAlignment="1">
      <alignment horizontal="right" wrapText="1"/>
    </xf>
    <xf numFmtId="0" fontId="1" fillId="0" borderId="55" xfId="0" applyFont="1" applyBorder="1" applyAlignment="1">
      <alignment horizontal="center"/>
    </xf>
    <xf numFmtId="0" fontId="1" fillId="0" borderId="56" xfId="0" applyFont="1" applyBorder="1" applyAlignment="1">
      <alignment horizontal="center"/>
    </xf>
    <xf numFmtId="0" fontId="1" fillId="0" borderId="23" xfId="0" applyFont="1" applyBorder="1" applyAlignment="1">
      <alignment horizontal="center"/>
    </xf>
    <xf numFmtId="0" fontId="1" fillId="0" borderId="58" xfId="0" applyFont="1" applyBorder="1" applyAlignment="1">
      <alignment horizontal="center"/>
    </xf>
    <xf numFmtId="0" fontId="1" fillId="0" borderId="60" xfId="0" applyFont="1" applyBorder="1" applyAlignment="1">
      <alignment horizontal="center"/>
    </xf>
    <xf numFmtId="0" fontId="1" fillId="0" borderId="61" xfId="0" applyFont="1" applyBorder="1" applyAlignment="1">
      <alignment horizontal="center"/>
    </xf>
    <xf numFmtId="0" fontId="1" fillId="0" borderId="54" xfId="0" applyFont="1" applyBorder="1" applyAlignment="1">
      <alignment horizontal="left"/>
    </xf>
    <xf numFmtId="0" fontId="1" fillId="0" borderId="55" xfId="0" applyFont="1" applyBorder="1" applyAlignment="1">
      <alignment horizontal="left"/>
    </xf>
    <xf numFmtId="0" fontId="1" fillId="0" borderId="57" xfId="0" applyFont="1" applyBorder="1" applyAlignment="1">
      <alignment horizontal="left"/>
    </xf>
    <xf numFmtId="0" fontId="1" fillId="0" borderId="23"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3" fillId="2" borderId="34" xfId="0" applyFont="1" applyFill="1" applyBorder="1" applyAlignment="1">
      <alignment wrapText="1"/>
    </xf>
    <xf numFmtId="0" fontId="3" fillId="2" borderId="6" xfId="0" applyFont="1" applyFill="1" applyBorder="1" applyAlignment="1">
      <alignment wrapText="1"/>
    </xf>
    <xf numFmtId="0" fontId="3" fillId="2" borderId="35" xfId="0" applyFont="1" applyFill="1" applyBorder="1" applyAlignment="1">
      <alignment wrapText="1"/>
    </xf>
    <xf numFmtId="0" fontId="2" fillId="2" borderId="36" xfId="0" applyFont="1" applyFill="1" applyBorder="1" applyAlignment="1">
      <alignment wrapText="1"/>
    </xf>
    <xf numFmtId="0" fontId="2" fillId="2" borderId="15" xfId="0" applyFont="1" applyFill="1" applyBorder="1" applyAlignment="1">
      <alignment wrapText="1"/>
    </xf>
    <xf numFmtId="0" fontId="2" fillId="2" borderId="37" xfId="0" applyFont="1" applyFill="1" applyBorder="1" applyAlignment="1">
      <alignment wrapText="1"/>
    </xf>
    <xf numFmtId="0" fontId="3" fillId="2" borderId="42" xfId="0" applyFont="1" applyFill="1" applyBorder="1" applyAlignment="1">
      <alignment wrapText="1"/>
    </xf>
    <xf numFmtId="0" fontId="3" fillId="2" borderId="43" xfId="0" applyFont="1" applyFill="1" applyBorder="1" applyAlignment="1">
      <alignment wrapText="1"/>
    </xf>
    <xf numFmtId="0" fontId="3" fillId="2" borderId="44" xfId="0" applyFont="1" applyFill="1" applyBorder="1" applyAlignment="1">
      <alignment wrapText="1"/>
    </xf>
    <xf numFmtId="0" fontId="4" fillId="0" borderId="45" xfId="0" applyFont="1" applyBorder="1" applyAlignment="1">
      <alignment horizontal="center" wrapText="1"/>
    </xf>
    <xf numFmtId="0" fontId="4" fillId="0" borderId="46" xfId="0" applyFont="1" applyBorder="1" applyAlignment="1">
      <alignment horizontal="center" wrapText="1"/>
    </xf>
    <xf numFmtId="0" fontId="4" fillId="0" borderId="47" xfId="0" applyFont="1" applyBorder="1" applyAlignment="1">
      <alignment horizontal="center" wrapText="1"/>
    </xf>
    <xf numFmtId="0" fontId="4" fillId="11" borderId="45" xfId="0" applyFont="1" applyFill="1" applyBorder="1" applyAlignment="1">
      <alignment horizontal="center" wrapText="1"/>
    </xf>
    <xf numFmtId="0" fontId="4" fillId="11" borderId="46" xfId="0" applyFont="1" applyFill="1" applyBorder="1" applyAlignment="1">
      <alignment horizontal="center" wrapText="1"/>
    </xf>
    <xf numFmtId="0" fontId="4" fillId="11" borderId="47" xfId="0" applyFont="1" applyFill="1" applyBorder="1" applyAlignment="1">
      <alignment horizontal="center" wrapText="1"/>
    </xf>
    <xf numFmtId="0" fontId="4" fillId="4" borderId="45" xfId="0" applyFont="1" applyFill="1" applyBorder="1" applyAlignment="1">
      <alignment horizontal="center" wrapText="1"/>
    </xf>
    <xf numFmtId="0" fontId="4" fillId="4" borderId="46" xfId="0" applyFont="1" applyFill="1" applyBorder="1" applyAlignment="1">
      <alignment horizontal="center" wrapText="1"/>
    </xf>
    <xf numFmtId="0" fontId="4" fillId="4" borderId="47" xfId="0" applyFont="1" applyFill="1" applyBorder="1" applyAlignment="1">
      <alignment horizontal="center" wrapText="1"/>
    </xf>
    <xf numFmtId="0" fontId="4" fillId="0" borderId="48" xfId="0" applyFont="1" applyBorder="1" applyAlignment="1">
      <alignment horizontal="center" wrapText="1"/>
    </xf>
    <xf numFmtId="0" fontId="4" fillId="0" borderId="18" xfId="0" applyFont="1" applyBorder="1" applyAlignment="1">
      <alignment horizontal="center" wrapText="1"/>
    </xf>
    <xf numFmtId="0" fontId="4" fillId="0" borderId="49" xfId="0" applyFont="1" applyBorder="1" applyAlignment="1">
      <alignment horizontal="center" wrapText="1"/>
    </xf>
    <xf numFmtId="0" fontId="4" fillId="0" borderId="39" xfId="0" applyFont="1" applyBorder="1" applyAlignment="1">
      <alignment horizontal="center" wrapText="1"/>
    </xf>
    <xf numFmtId="0" fontId="4" fillId="0" borderId="7" xfId="0" applyFont="1" applyBorder="1" applyAlignment="1">
      <alignment horizontal="center" wrapText="1"/>
    </xf>
    <xf numFmtId="0" fontId="4" fillId="0" borderId="40" xfId="0" applyFont="1" applyBorder="1" applyAlignment="1">
      <alignment horizontal="center" wrapText="1"/>
    </xf>
    <xf numFmtId="0" fontId="4" fillId="11" borderId="48" xfId="0" applyFont="1" applyFill="1" applyBorder="1" applyAlignment="1">
      <alignment horizontal="center" wrapText="1"/>
    </xf>
    <xf numFmtId="0" fontId="4" fillId="11" borderId="18" xfId="0" applyFont="1" applyFill="1" applyBorder="1" applyAlignment="1">
      <alignment horizontal="center" wrapText="1"/>
    </xf>
    <xf numFmtId="0" fontId="4" fillId="11" borderId="49" xfId="0" applyFont="1" applyFill="1" applyBorder="1" applyAlignment="1">
      <alignment horizontal="center" wrapText="1"/>
    </xf>
    <xf numFmtId="0" fontId="4" fillId="11" borderId="39" xfId="0" applyFont="1" applyFill="1" applyBorder="1" applyAlignment="1">
      <alignment horizontal="center" wrapText="1"/>
    </xf>
    <xf numFmtId="0" fontId="4" fillId="11" borderId="7" xfId="0" applyFont="1" applyFill="1" applyBorder="1" applyAlignment="1">
      <alignment horizontal="center" wrapText="1"/>
    </xf>
    <xf numFmtId="0" fontId="4" fillId="11" borderId="40" xfId="0" applyFont="1" applyFill="1" applyBorder="1" applyAlignment="1">
      <alignment horizontal="center" wrapText="1"/>
    </xf>
    <xf numFmtId="0" fontId="4" fillId="4" borderId="48" xfId="0" applyFont="1" applyFill="1" applyBorder="1" applyAlignment="1">
      <alignment horizontal="center" wrapText="1"/>
    </xf>
    <xf numFmtId="0" fontId="4" fillId="4" borderId="18" xfId="0" applyFont="1" applyFill="1" applyBorder="1" applyAlignment="1">
      <alignment horizontal="center" wrapText="1"/>
    </xf>
    <xf numFmtId="0" fontId="4" fillId="4" borderId="49" xfId="0" applyFont="1" applyFill="1" applyBorder="1" applyAlignment="1">
      <alignment horizontal="center" wrapText="1"/>
    </xf>
    <xf numFmtId="0" fontId="7" fillId="4" borderId="39" xfId="0" applyFont="1" applyFill="1" applyBorder="1" applyAlignment="1">
      <alignment horizontal="center" wrapText="1"/>
    </xf>
    <xf numFmtId="0" fontId="7" fillId="4" borderId="7" xfId="0" applyFont="1" applyFill="1" applyBorder="1" applyAlignment="1">
      <alignment horizontal="center" wrapText="1"/>
    </xf>
    <xf numFmtId="0" fontId="7" fillId="4" borderId="40" xfId="0" applyFont="1" applyFill="1" applyBorder="1" applyAlignment="1">
      <alignment horizontal="center" wrapText="1"/>
    </xf>
    <xf numFmtId="0" fontId="4" fillId="11" borderId="11" xfId="0" applyFont="1" applyFill="1" applyBorder="1" applyAlignment="1">
      <alignment horizontal="center" wrapText="1"/>
    </xf>
    <xf numFmtId="0" fontId="4" fillId="11" borderId="10" xfId="0" applyFont="1" applyFill="1" applyBorder="1" applyAlignment="1">
      <alignment horizontal="center" wrapText="1"/>
    </xf>
    <xf numFmtId="0" fontId="4" fillId="0" borderId="11" xfId="0" applyFont="1" applyBorder="1" applyAlignment="1" applyProtection="1">
      <alignment horizontal="center" wrapText="1"/>
      <protection locked="0"/>
    </xf>
    <xf numFmtId="0" fontId="4" fillId="0" borderId="10" xfId="0" applyFont="1" applyBorder="1" applyAlignment="1" applyProtection="1">
      <alignment horizontal="center" wrapText="1"/>
      <protection locked="0"/>
    </xf>
    <xf numFmtId="0" fontId="4" fillId="0" borderId="22" xfId="0" applyFont="1" applyBorder="1" applyAlignment="1">
      <alignment wrapText="1"/>
    </xf>
    <xf numFmtId="0" fontId="4" fillId="0" borderId="23" xfId="0" applyFont="1" applyBorder="1" applyAlignment="1">
      <alignment wrapText="1"/>
    </xf>
    <xf numFmtId="0" fontId="4" fillId="0" borderId="28" xfId="0" applyFont="1" applyBorder="1" applyAlignment="1">
      <alignment horizontal="center" wrapText="1"/>
    </xf>
    <xf numFmtId="0" fontId="4" fillId="0" borderId="29" xfId="0" applyFont="1" applyBorder="1" applyAlignment="1">
      <alignment horizontal="center" wrapText="1"/>
    </xf>
    <xf numFmtId="0" fontId="4" fillId="0" borderId="30" xfId="0" applyFont="1" applyBorder="1" applyAlignment="1">
      <alignment horizontal="center" wrapText="1"/>
    </xf>
    <xf numFmtId="0" fontId="4" fillId="2" borderId="48" xfId="0" applyFont="1" applyFill="1" applyBorder="1" applyAlignment="1">
      <alignment wrapText="1"/>
    </xf>
    <xf numFmtId="0" fontId="4" fillId="2" borderId="18" xfId="0" applyFont="1" applyFill="1" applyBorder="1" applyAlignment="1">
      <alignment wrapText="1"/>
    </xf>
    <xf numFmtId="0" fontId="4" fillId="2" borderId="49" xfId="0" applyFont="1" applyFill="1" applyBorder="1" applyAlignment="1">
      <alignment wrapText="1"/>
    </xf>
    <xf numFmtId="0" fontId="4" fillId="2" borderId="39" xfId="0" applyFont="1" applyFill="1" applyBorder="1" applyAlignment="1">
      <alignment wrapText="1"/>
    </xf>
    <xf numFmtId="0" fontId="4" fillId="2" borderId="7" xfId="0" applyFont="1" applyFill="1" applyBorder="1" applyAlignment="1">
      <alignment wrapText="1"/>
    </xf>
    <xf numFmtId="0" fontId="4" fillId="2" borderId="40" xfId="0" applyFont="1" applyFill="1" applyBorder="1" applyAlignment="1">
      <alignment wrapText="1"/>
    </xf>
    <xf numFmtId="165" fontId="0" fillId="7" borderId="23" xfId="0" applyNumberFormat="1" applyFill="1" applyBorder="1"/>
    <xf numFmtId="165" fontId="0" fillId="7" borderId="24" xfId="0" applyNumberFormat="1" applyFill="1" applyBorder="1"/>
    <xf numFmtId="165" fontId="0" fillId="7" borderId="26" xfId="0" applyNumberFormat="1" applyFill="1" applyBorder="1"/>
    <xf numFmtId="165" fontId="0" fillId="7" borderId="27" xfId="0" applyNumberFormat="1" applyFill="1" applyBorder="1"/>
    <xf numFmtId="0" fontId="3" fillId="2" borderId="51" xfId="0" applyFont="1" applyFill="1" applyBorder="1" applyAlignment="1">
      <alignment wrapText="1"/>
    </xf>
    <xf numFmtId="0" fontId="3" fillId="2" borderId="52" xfId="0" applyFont="1" applyFill="1" applyBorder="1" applyAlignment="1">
      <alignment wrapText="1"/>
    </xf>
    <xf numFmtId="0" fontId="3" fillId="2" borderId="53" xfId="0" applyFont="1" applyFill="1" applyBorder="1" applyAlignment="1">
      <alignment wrapText="1"/>
    </xf>
    <xf numFmtId="0" fontId="0" fillId="0" borderId="23" xfId="0" applyBorder="1" applyProtection="1">
      <protection locked="0"/>
    </xf>
    <xf numFmtId="0" fontId="0" fillId="0" borderId="24" xfId="0" applyBorder="1" applyProtection="1">
      <protection locked="0"/>
    </xf>
    <xf numFmtId="0" fontId="4" fillId="0" borderId="24" xfId="0" applyFont="1" applyBorder="1" applyAlignment="1">
      <alignment wrapText="1"/>
    </xf>
    <xf numFmtId="0" fontId="2" fillId="2" borderId="20" xfId="0" applyFont="1" applyFill="1" applyBorder="1" applyAlignment="1">
      <alignment wrapText="1"/>
    </xf>
    <xf numFmtId="0" fontId="2" fillId="2" borderId="5" xfId="0" applyFont="1" applyFill="1" applyBorder="1" applyAlignment="1">
      <alignment wrapText="1"/>
    </xf>
    <xf numFmtId="0" fontId="2" fillId="2" borderId="21" xfId="0" applyFont="1" applyFill="1" applyBorder="1" applyAlignment="1">
      <alignment wrapText="1"/>
    </xf>
    <xf numFmtId="0" fontId="4" fillId="2" borderId="22" xfId="0" applyFont="1" applyFill="1" applyBorder="1" applyAlignment="1">
      <alignment horizontal="left" wrapText="1" indent="4"/>
    </xf>
    <xf numFmtId="0" fontId="4" fillId="2" borderId="23" xfId="0" applyFont="1" applyFill="1" applyBorder="1" applyAlignment="1">
      <alignment horizontal="left" wrapText="1" indent="4"/>
    </xf>
    <xf numFmtId="0" fontId="4" fillId="2" borderId="24" xfId="0" applyFont="1" applyFill="1" applyBorder="1" applyAlignment="1">
      <alignment horizontal="left" wrapText="1" indent="4"/>
    </xf>
    <xf numFmtId="0" fontId="4" fillId="0" borderId="25" xfId="0" applyFont="1" applyBorder="1" applyAlignment="1">
      <alignment wrapText="1"/>
    </xf>
    <xf numFmtId="0" fontId="4" fillId="0" borderId="26" xfId="0" applyFont="1" applyBorder="1" applyAlignment="1">
      <alignment wrapText="1"/>
    </xf>
    <xf numFmtId="0" fontId="2" fillId="2" borderId="39" xfId="0" applyFont="1" applyFill="1" applyBorder="1" applyAlignment="1">
      <alignment wrapText="1"/>
    </xf>
    <xf numFmtId="0" fontId="2" fillId="2" borderId="7" xfId="0" applyFont="1" applyFill="1" applyBorder="1" applyAlignment="1">
      <alignment wrapText="1"/>
    </xf>
    <xf numFmtId="0" fontId="2" fillId="2" borderId="40" xfId="0" applyFont="1" applyFill="1" applyBorder="1" applyAlignment="1">
      <alignment wrapText="1"/>
    </xf>
    <xf numFmtId="0" fontId="4" fillId="2" borderId="34" xfId="0" applyFont="1" applyFill="1" applyBorder="1" applyAlignment="1">
      <alignment vertical="top" wrapText="1"/>
    </xf>
    <xf numFmtId="0" fontId="4" fillId="2" borderId="6" xfId="0" applyFont="1" applyFill="1" applyBorder="1" applyAlignment="1">
      <alignment vertical="top" wrapText="1"/>
    </xf>
    <xf numFmtId="0" fontId="4" fillId="2" borderId="35" xfId="0" applyFont="1" applyFill="1" applyBorder="1" applyAlignment="1">
      <alignment vertical="top" wrapText="1"/>
    </xf>
    <xf numFmtId="0" fontId="9" fillId="2" borderId="39" xfId="0" applyFont="1" applyFill="1" applyBorder="1" applyAlignment="1">
      <alignment vertical="top" wrapText="1"/>
    </xf>
    <xf numFmtId="0" fontId="9" fillId="2" borderId="7" xfId="0" applyFont="1" applyFill="1" applyBorder="1" applyAlignment="1">
      <alignment vertical="top" wrapText="1"/>
    </xf>
    <xf numFmtId="0" fontId="9" fillId="2" borderId="40" xfId="0" applyFont="1" applyFill="1" applyBorder="1" applyAlignment="1">
      <alignment vertical="top" wrapText="1"/>
    </xf>
    <xf numFmtId="0" fontId="4" fillId="2" borderId="48" xfId="0" applyFont="1" applyFill="1" applyBorder="1" applyAlignment="1">
      <alignment vertical="top" wrapText="1"/>
    </xf>
    <xf numFmtId="0" fontId="4" fillId="2" borderId="18" xfId="0" applyFont="1" applyFill="1" applyBorder="1" applyAlignment="1">
      <alignment vertical="top" wrapText="1"/>
    </xf>
    <xf numFmtId="0" fontId="4" fillId="2" borderId="49" xfId="0" applyFont="1" applyFill="1" applyBorder="1" applyAlignment="1">
      <alignment vertical="top" wrapText="1"/>
    </xf>
    <xf numFmtId="0" fontId="5" fillId="0" borderId="28" xfId="0" applyFont="1" applyBorder="1" applyAlignment="1">
      <alignment vertical="top" wrapText="1"/>
    </xf>
    <xf numFmtId="0" fontId="5" fillId="0" borderId="29" xfId="0" applyFont="1" applyBorder="1" applyAlignment="1">
      <alignment vertical="top" wrapText="1"/>
    </xf>
    <xf numFmtId="0" fontId="5" fillId="0" borderId="30" xfId="0" applyFont="1" applyBorder="1" applyAlignment="1">
      <alignment vertical="top" wrapText="1"/>
    </xf>
    <xf numFmtId="0" fontId="4" fillId="0" borderId="50" xfId="0" applyFont="1" applyBorder="1" applyAlignment="1">
      <alignment horizontal="center" wrapText="1"/>
    </xf>
    <xf numFmtId="0" fontId="4" fillId="0" borderId="38" xfId="0" applyFont="1" applyBorder="1" applyAlignment="1">
      <alignment horizontal="center" wrapText="1"/>
    </xf>
    <xf numFmtId="0" fontId="4" fillId="0" borderId="42" xfId="0" applyFont="1" applyBorder="1" applyAlignment="1">
      <alignment horizontal="center" wrapText="1"/>
    </xf>
    <xf numFmtId="0" fontId="4" fillId="0" borderId="44" xfId="0" applyFont="1" applyBorder="1" applyAlignment="1">
      <alignment horizontal="center" wrapText="1"/>
    </xf>
    <xf numFmtId="0" fontId="4" fillId="0" borderId="10" xfId="0" applyFont="1" applyBorder="1" applyAlignment="1">
      <alignment horizontal="center" wrapText="1"/>
    </xf>
    <xf numFmtId="0" fontId="3" fillId="2" borderId="54" xfId="0" applyFont="1" applyFill="1" applyBorder="1" applyAlignment="1">
      <alignment horizontal="left" vertical="top" wrapText="1"/>
    </xf>
    <xf numFmtId="0" fontId="3" fillId="2" borderId="55" xfId="0" applyFont="1" applyFill="1" applyBorder="1" applyAlignment="1">
      <alignment horizontal="left" vertical="top" wrapText="1"/>
    </xf>
    <xf numFmtId="0" fontId="3" fillId="2" borderId="56" xfId="0" applyFont="1" applyFill="1" applyBorder="1" applyAlignment="1">
      <alignment horizontal="left" vertical="top" wrapText="1"/>
    </xf>
    <xf numFmtId="0" fontId="4" fillId="2" borderId="57" xfId="0" applyFont="1" applyFill="1" applyBorder="1" applyAlignment="1">
      <alignment horizontal="center" vertical="top" wrapText="1"/>
    </xf>
    <xf numFmtId="0" fontId="4" fillId="2" borderId="23" xfId="0" applyFont="1" applyFill="1" applyBorder="1" applyAlignment="1">
      <alignment horizontal="center" vertical="top" wrapText="1"/>
    </xf>
    <xf numFmtId="0" fontId="4" fillId="2" borderId="58" xfId="0" applyFont="1" applyFill="1" applyBorder="1" applyAlignment="1">
      <alignment horizontal="center" vertical="top" wrapText="1"/>
    </xf>
    <xf numFmtId="0" fontId="5" fillId="0" borderId="66" xfId="0" applyFont="1" applyBorder="1" applyAlignment="1">
      <alignment vertical="top" wrapText="1"/>
    </xf>
    <xf numFmtId="0" fontId="5" fillId="0" borderId="67" xfId="0" applyFont="1" applyBorder="1" applyAlignment="1">
      <alignment vertical="top" wrapText="1"/>
    </xf>
    <xf numFmtId="0" fontId="5" fillId="0" borderId="68" xfId="0" applyFont="1" applyBorder="1" applyAlignment="1">
      <alignment vertical="top" wrapText="1"/>
    </xf>
    <xf numFmtId="0" fontId="5" fillId="0" borderId="18" xfId="0" applyFont="1" applyBorder="1" applyAlignment="1">
      <alignment horizontal="center" vertical="top" wrapText="1"/>
    </xf>
    <xf numFmtId="0" fontId="5" fillId="0" borderId="7" xfId="0" applyFont="1" applyBorder="1" applyAlignment="1">
      <alignment horizontal="center" vertical="top" wrapText="1"/>
    </xf>
    <xf numFmtId="0" fontId="3" fillId="2" borderId="48" xfId="0" applyFont="1" applyFill="1" applyBorder="1" applyAlignment="1">
      <alignment horizontal="left" vertical="top" wrapText="1"/>
    </xf>
    <xf numFmtId="0" fontId="3" fillId="2" borderId="18" xfId="0" applyFont="1" applyFill="1" applyBorder="1" applyAlignment="1">
      <alignment horizontal="left" vertical="top" wrapText="1"/>
    </xf>
    <xf numFmtId="0" fontId="3" fillId="2" borderId="49" xfId="0" applyFont="1" applyFill="1" applyBorder="1" applyAlignment="1">
      <alignment horizontal="left" vertical="top" wrapText="1"/>
    </xf>
    <xf numFmtId="0" fontId="5" fillId="0" borderId="57" xfId="0" applyFont="1" applyBorder="1" applyAlignment="1">
      <alignment horizontal="left" vertical="top" wrapText="1"/>
    </xf>
    <xf numFmtId="0" fontId="5" fillId="0" borderId="23" xfId="0" applyFont="1" applyBorder="1" applyAlignment="1">
      <alignment horizontal="left" vertical="top" wrapText="1"/>
    </xf>
    <xf numFmtId="0" fontId="5" fillId="0" borderId="59" xfId="0" applyFont="1" applyBorder="1" applyAlignment="1">
      <alignment horizontal="left" vertical="top" wrapText="1"/>
    </xf>
    <xf numFmtId="0" fontId="5" fillId="0" borderId="60" xfId="0" applyFont="1" applyBorder="1" applyAlignment="1">
      <alignment horizontal="left" vertical="top" wrapText="1"/>
    </xf>
    <xf numFmtId="0" fontId="2" fillId="2" borderId="39"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40" xfId="0" applyFont="1" applyFill="1" applyBorder="1" applyAlignment="1">
      <alignment horizontal="left" vertical="top" wrapText="1"/>
    </xf>
    <xf numFmtId="0" fontId="4" fillId="2" borderId="54" xfId="0" applyFont="1" applyFill="1" applyBorder="1" applyAlignment="1">
      <alignment horizontal="left" vertical="top" wrapText="1"/>
    </xf>
    <xf numFmtId="0" fontId="4" fillId="2" borderId="55" xfId="0" applyFont="1" applyFill="1" applyBorder="1" applyAlignment="1">
      <alignment horizontal="left" vertical="top" wrapText="1"/>
    </xf>
    <xf numFmtId="0" fontId="4" fillId="2" borderId="56" xfId="0" applyFont="1" applyFill="1" applyBorder="1" applyAlignment="1">
      <alignment horizontal="left" vertical="top" wrapText="1"/>
    </xf>
    <xf numFmtId="0" fontId="5" fillId="0" borderId="57" xfId="0" applyFont="1" applyBorder="1" applyAlignment="1">
      <alignment horizontal="left" wrapText="1"/>
    </xf>
    <xf numFmtId="0" fontId="5" fillId="0" borderId="23" xfId="0" applyFont="1" applyBorder="1" applyAlignment="1">
      <alignment horizontal="left" wrapText="1"/>
    </xf>
    <xf numFmtId="0" fontId="4" fillId="2" borderId="57" xfId="0" applyFont="1" applyFill="1" applyBorder="1" applyAlignment="1">
      <alignment horizontal="left" vertical="top" wrapText="1"/>
    </xf>
    <xf numFmtId="0" fontId="4" fillId="2" borderId="23" xfId="0" applyFont="1" applyFill="1" applyBorder="1" applyAlignment="1">
      <alignment horizontal="left" vertical="top" wrapText="1"/>
    </xf>
    <xf numFmtId="0" fontId="4" fillId="2" borderId="58" xfId="0" applyFont="1" applyFill="1" applyBorder="1" applyAlignment="1">
      <alignment horizontal="left" vertical="top" wrapText="1"/>
    </xf>
    <xf numFmtId="0" fontId="5" fillId="0" borderId="58" xfId="0" applyFont="1" applyBorder="1" applyAlignment="1">
      <alignment horizontal="left" vertical="top" wrapText="1"/>
    </xf>
    <xf numFmtId="0" fontId="5" fillId="0" borderId="57" xfId="0" applyFont="1" applyBorder="1" applyAlignment="1">
      <alignment horizontal="left" vertical="top" wrapText="1" indent="2"/>
    </xf>
    <xf numFmtId="0" fontId="5" fillId="0" borderId="23" xfId="0" applyFont="1" applyBorder="1" applyAlignment="1">
      <alignment horizontal="left" vertical="top" wrapText="1" indent="2"/>
    </xf>
    <xf numFmtId="0" fontId="5" fillId="0" borderId="59" xfId="0" applyFont="1" applyBorder="1" applyAlignment="1">
      <alignment horizontal="left" vertical="top" wrapText="1" indent="2"/>
    </xf>
    <xf numFmtId="0" fontId="5" fillId="0" borderId="60" xfId="0" applyFont="1" applyBorder="1" applyAlignment="1">
      <alignment horizontal="left" vertical="top" wrapText="1" indent="2"/>
    </xf>
    <xf numFmtId="0" fontId="2" fillId="2" borderId="57" xfId="0" applyFont="1" applyFill="1" applyBorder="1" applyAlignment="1">
      <alignment horizontal="left" vertical="top" wrapText="1"/>
    </xf>
    <xf numFmtId="0" fontId="2" fillId="2" borderId="23" xfId="0" applyFont="1" applyFill="1" applyBorder="1" applyAlignment="1">
      <alignment horizontal="left" vertical="top" wrapText="1"/>
    </xf>
    <xf numFmtId="0" fontId="2" fillId="2" borderId="58" xfId="0" applyFont="1" applyFill="1" applyBorder="1" applyAlignment="1">
      <alignment horizontal="left" vertical="top" wrapText="1"/>
    </xf>
    <xf numFmtId="0" fontId="4" fillId="2" borderId="28" xfId="0" applyFont="1" applyFill="1" applyBorder="1" applyAlignment="1">
      <alignment vertical="top" wrapText="1"/>
    </xf>
    <xf numFmtId="0" fontId="4" fillId="2" borderId="29" xfId="0" applyFont="1" applyFill="1" applyBorder="1" applyAlignment="1">
      <alignment vertical="top" wrapText="1"/>
    </xf>
    <xf numFmtId="0" fontId="4" fillId="2" borderId="70" xfId="0" applyFont="1" applyFill="1" applyBorder="1" applyAlignment="1">
      <alignment vertical="top" wrapText="1"/>
    </xf>
    <xf numFmtId="0" fontId="2" fillId="2" borderId="28" xfId="0" applyFont="1" applyFill="1" applyBorder="1" applyAlignment="1">
      <alignment vertical="top" wrapText="1"/>
    </xf>
    <xf numFmtId="0" fontId="2" fillId="2" borderId="29" xfId="0" applyFont="1" applyFill="1" applyBorder="1" applyAlignment="1">
      <alignment vertical="top" wrapText="1"/>
    </xf>
    <xf numFmtId="0" fontId="2" fillId="2" borderId="30" xfId="0" applyFont="1" applyFill="1" applyBorder="1" applyAlignment="1">
      <alignment vertical="top" wrapText="1"/>
    </xf>
    <xf numFmtId="0" fontId="3" fillId="2" borderId="34" xfId="0" applyFont="1" applyFill="1" applyBorder="1" applyAlignment="1">
      <alignment vertical="top" wrapText="1"/>
    </xf>
    <xf numFmtId="0" fontId="3" fillId="2" borderId="6" xfId="0" applyFont="1" applyFill="1" applyBorder="1" applyAlignment="1">
      <alignment vertical="top" wrapText="1"/>
    </xf>
    <xf numFmtId="0" fontId="3" fillId="2" borderId="35" xfId="0" applyFont="1" applyFill="1" applyBorder="1" applyAlignment="1">
      <alignment vertical="top" wrapText="1"/>
    </xf>
    <xf numFmtId="0" fontId="2" fillId="2" borderId="65" xfId="0" applyFont="1" applyFill="1" applyBorder="1" applyAlignment="1">
      <alignment vertical="top" wrapText="1"/>
    </xf>
    <xf numFmtId="0" fontId="2" fillId="2" borderId="0" xfId="0" applyFont="1" applyFill="1" applyBorder="1" applyAlignment="1">
      <alignment vertical="top" wrapText="1"/>
    </xf>
    <xf numFmtId="0" fontId="2" fillId="2" borderId="41" xfId="0" applyFont="1" applyFill="1" applyBorder="1" applyAlignment="1">
      <alignment vertical="top" wrapText="1"/>
    </xf>
    <xf numFmtId="0" fontId="2" fillId="2" borderId="36" xfId="0" applyFont="1" applyFill="1" applyBorder="1" applyAlignment="1">
      <alignment vertical="top" wrapText="1"/>
    </xf>
    <xf numFmtId="0" fontId="2" fillId="2" borderId="15" xfId="0" applyFont="1" applyFill="1" applyBorder="1" applyAlignment="1">
      <alignment vertical="top" wrapText="1"/>
    </xf>
    <xf numFmtId="0" fontId="2" fillId="2" borderId="37" xfId="0" applyFont="1" applyFill="1" applyBorder="1" applyAlignment="1">
      <alignment vertical="top" wrapText="1"/>
    </xf>
    <xf numFmtId="0" fontId="38" fillId="14" borderId="28" xfId="0" applyFont="1" applyFill="1" applyBorder="1" applyAlignment="1">
      <alignment vertical="top" wrapText="1"/>
    </xf>
    <xf numFmtId="0" fontId="38" fillId="14" borderId="29" xfId="0" applyFont="1" applyFill="1" applyBorder="1" applyAlignment="1">
      <alignment vertical="top" wrapText="1"/>
    </xf>
    <xf numFmtId="0" fontId="4" fillId="2" borderId="141" xfId="0" applyFont="1" applyFill="1" applyBorder="1" applyAlignment="1">
      <alignment vertical="top" wrapText="1"/>
    </xf>
    <xf numFmtId="0" fontId="3" fillId="2" borderId="48" xfId="0" applyFont="1" applyFill="1" applyBorder="1" applyAlignment="1">
      <alignment vertical="top" wrapText="1"/>
    </xf>
    <xf numFmtId="0" fontId="3" fillId="2" borderId="18" xfId="0" applyFont="1" applyFill="1" applyBorder="1" applyAlignment="1">
      <alignment vertical="top" wrapText="1"/>
    </xf>
    <xf numFmtId="0" fontId="3" fillId="2" borderId="49" xfId="0" applyFont="1" applyFill="1" applyBorder="1" applyAlignment="1">
      <alignment vertical="top" wrapText="1"/>
    </xf>
    <xf numFmtId="0" fontId="38" fillId="14" borderId="141" xfId="0" applyFont="1" applyFill="1" applyBorder="1" applyAlignment="1">
      <alignment vertical="top" wrapText="1"/>
    </xf>
    <xf numFmtId="0" fontId="2" fillId="2" borderId="141" xfId="0" applyFont="1" applyFill="1" applyBorder="1" applyAlignment="1">
      <alignment vertical="top" wrapText="1"/>
    </xf>
    <xf numFmtId="0" fontId="5" fillId="0" borderId="0" xfId="0" applyFont="1" applyBorder="1" applyAlignment="1">
      <alignment horizontal="center" wrapText="1"/>
    </xf>
    <xf numFmtId="0" fontId="5" fillId="0" borderId="102" xfId="0" applyFont="1" applyBorder="1" applyAlignment="1">
      <alignment horizontal="center" wrapText="1"/>
    </xf>
    <xf numFmtId="0" fontId="11" fillId="3" borderId="105" xfId="0" applyFont="1" applyFill="1" applyBorder="1" applyAlignment="1">
      <alignment horizontal="center" wrapText="1"/>
    </xf>
    <xf numFmtId="0" fontId="11" fillId="3" borderId="29" xfId="0" applyFont="1" applyFill="1" applyBorder="1" applyAlignment="1">
      <alignment horizontal="center" wrapText="1"/>
    </xf>
    <xf numFmtId="0" fontId="11" fillId="3" borderId="70" xfId="0" applyFont="1" applyFill="1" applyBorder="1" applyAlignment="1">
      <alignment horizontal="center" wrapText="1"/>
    </xf>
    <xf numFmtId="0" fontId="4" fillId="0" borderId="103" xfId="0" applyFont="1" applyBorder="1" applyAlignment="1">
      <alignment wrapText="1"/>
    </xf>
    <xf numFmtId="0" fontId="4" fillId="0" borderId="104" xfId="0" applyFont="1" applyBorder="1" applyAlignment="1">
      <alignment wrapText="1"/>
    </xf>
    <xf numFmtId="0" fontId="4" fillId="0" borderId="106" xfId="0" applyFont="1" applyBorder="1" applyAlignment="1">
      <alignment wrapText="1"/>
    </xf>
    <xf numFmtId="0" fontId="4" fillId="0" borderId="65" xfId="0" applyFont="1" applyBorder="1" applyAlignment="1">
      <alignment horizontal="center" wrapText="1"/>
    </xf>
    <xf numFmtId="0" fontId="4" fillId="0" borderId="0" xfId="0" applyFont="1" applyBorder="1" applyAlignment="1">
      <alignment horizontal="center" wrapText="1"/>
    </xf>
    <xf numFmtId="0" fontId="4" fillId="0" borderId="41" xfId="0" applyFont="1" applyBorder="1" applyAlignment="1">
      <alignment horizontal="center" wrapText="1"/>
    </xf>
    <xf numFmtId="165" fontId="5" fillId="3" borderId="101" xfId="0" applyNumberFormat="1" applyFont="1" applyFill="1" applyBorder="1" applyAlignment="1">
      <alignment horizontal="center" wrapText="1"/>
    </xf>
    <xf numFmtId="165" fontId="5" fillId="3" borderId="0" xfId="0" applyNumberFormat="1" applyFont="1" applyFill="1" applyBorder="1" applyAlignment="1">
      <alignment horizontal="center" wrapText="1"/>
    </xf>
    <xf numFmtId="165" fontId="5" fillId="3" borderId="102" xfId="0" applyNumberFormat="1" applyFont="1" applyFill="1" applyBorder="1" applyAlignment="1">
      <alignment horizontal="center" wrapText="1"/>
    </xf>
    <xf numFmtId="9" fontId="11" fillId="3" borderId="105" xfId="0" applyNumberFormat="1" applyFont="1" applyFill="1" applyBorder="1" applyAlignment="1">
      <alignment horizontal="center" wrapText="1"/>
    </xf>
    <xf numFmtId="9" fontId="11" fillId="3" borderId="29" xfId="0" applyNumberFormat="1" applyFont="1" applyFill="1" applyBorder="1" applyAlignment="1">
      <alignment horizontal="center" wrapText="1"/>
    </xf>
    <xf numFmtId="9" fontId="11" fillId="3" borderId="70" xfId="0" applyNumberFormat="1" applyFont="1" applyFill="1" applyBorder="1" applyAlignment="1">
      <alignment horizontal="center" wrapText="1"/>
    </xf>
    <xf numFmtId="0" fontId="5" fillId="3" borderId="65" xfId="0" applyFont="1" applyFill="1" applyBorder="1" applyAlignment="1">
      <alignment horizontal="center" wrapText="1"/>
    </xf>
    <xf numFmtId="0" fontId="5" fillId="3" borderId="0" xfId="0" applyFont="1" applyFill="1" applyBorder="1" applyAlignment="1">
      <alignment horizontal="center" wrapText="1"/>
    </xf>
    <xf numFmtId="0" fontId="5" fillId="3" borderId="41" xfId="0" applyFont="1" applyFill="1" applyBorder="1" applyAlignment="1">
      <alignment horizontal="center" wrapText="1"/>
    </xf>
    <xf numFmtId="0" fontId="11" fillId="4" borderId="28" xfId="0" applyFont="1" applyFill="1" applyBorder="1" applyAlignment="1">
      <alignment horizontal="center" wrapText="1"/>
    </xf>
    <xf numFmtId="0" fontId="11" fillId="4" borderId="30" xfId="0" applyFont="1" applyFill="1" applyBorder="1" applyAlignment="1">
      <alignment horizontal="center" wrapText="1"/>
    </xf>
    <xf numFmtId="0" fontId="5" fillId="0" borderId="65" xfId="0" applyFont="1" applyBorder="1" applyAlignment="1">
      <alignment horizontal="center" wrapText="1"/>
    </xf>
    <xf numFmtId="0" fontId="5" fillId="0" borderId="41" xfId="0" applyFont="1" applyBorder="1" applyAlignment="1">
      <alignment horizontal="center" wrapText="1"/>
    </xf>
    <xf numFmtId="0" fontId="4" fillId="0" borderId="70" xfId="0" applyFont="1" applyBorder="1" applyAlignment="1">
      <alignment horizontal="center" wrapText="1"/>
    </xf>
    <xf numFmtId="0" fontId="4" fillId="3" borderId="105" xfId="0" applyFont="1" applyFill="1" applyBorder="1" applyAlignment="1">
      <alignment horizontal="center" wrapText="1"/>
    </xf>
    <xf numFmtId="0" fontId="4" fillId="3" borderId="29" xfId="0" applyFont="1" applyFill="1" applyBorder="1" applyAlignment="1">
      <alignment horizontal="center" wrapText="1"/>
    </xf>
    <xf numFmtId="0" fontId="4" fillId="3" borderId="70" xfId="0" applyFont="1" applyFill="1" applyBorder="1" applyAlignment="1">
      <alignment horizontal="center" wrapText="1"/>
    </xf>
    <xf numFmtId="0" fontId="4" fillId="0" borderId="105" xfId="0" applyFont="1" applyBorder="1" applyAlignment="1">
      <alignment horizontal="center" wrapText="1"/>
    </xf>
    <xf numFmtId="0" fontId="5" fillId="3" borderId="101" xfId="0" applyFont="1" applyFill="1" applyBorder="1" applyAlignment="1">
      <alignment horizontal="center" wrapText="1"/>
    </xf>
    <xf numFmtId="0" fontId="5" fillId="3" borderId="102" xfId="0" applyFont="1" applyFill="1" applyBorder="1" applyAlignment="1">
      <alignment horizontal="center" wrapText="1"/>
    </xf>
    <xf numFmtId="0" fontId="4" fillId="3" borderId="28" xfId="0" applyFont="1" applyFill="1" applyBorder="1" applyAlignment="1">
      <alignment horizontal="center" wrapText="1"/>
    </xf>
    <xf numFmtId="0" fontId="4" fillId="3" borderId="141" xfId="0" applyFont="1" applyFill="1" applyBorder="1" applyAlignment="1">
      <alignment horizontal="center" wrapText="1"/>
    </xf>
    <xf numFmtId="9" fontId="11" fillId="3" borderId="28" xfId="0" applyNumberFormat="1" applyFont="1" applyFill="1" applyBorder="1" applyAlignment="1">
      <alignment horizontal="center" wrapText="1"/>
    </xf>
    <xf numFmtId="9" fontId="11" fillId="3" borderId="141" xfId="0" applyNumberFormat="1" applyFont="1" applyFill="1" applyBorder="1" applyAlignment="1">
      <alignment horizontal="center" wrapText="1"/>
    </xf>
    <xf numFmtId="0" fontId="5" fillId="0" borderId="65" xfId="0" applyFont="1" applyBorder="1" applyAlignment="1">
      <alignment horizontal="center"/>
    </xf>
    <xf numFmtId="0" fontId="5" fillId="0" borderId="41" xfId="0" applyFont="1" applyBorder="1" applyAlignment="1">
      <alignment horizontal="center"/>
    </xf>
    <xf numFmtId="0" fontId="11" fillId="4" borderId="28" xfId="0" applyFont="1" applyFill="1" applyBorder="1" applyAlignment="1">
      <alignment horizontal="center"/>
    </xf>
    <xf numFmtId="0" fontId="11" fillId="4" borderId="30" xfId="0" applyFont="1" applyFill="1" applyBorder="1" applyAlignment="1">
      <alignment horizontal="center"/>
    </xf>
    <xf numFmtId="0" fontId="5" fillId="4" borderId="28" xfId="0" applyFont="1" applyFill="1" applyBorder="1" applyAlignment="1">
      <alignment horizontal="center"/>
    </xf>
    <xf numFmtId="0" fontId="5" fillId="4" borderId="30" xfId="0" applyFont="1" applyFill="1" applyBorder="1" applyAlignment="1">
      <alignment horizontal="center"/>
    </xf>
    <xf numFmtId="0" fontId="5" fillId="0" borderId="48" xfId="0" applyFont="1" applyBorder="1" applyAlignment="1">
      <alignment horizontal="center" wrapText="1"/>
    </xf>
    <xf numFmtId="0" fontId="5" fillId="0" borderId="49"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5" fillId="0" borderId="41" xfId="0" applyFont="1" applyBorder="1" applyAlignment="1">
      <alignment horizontal="left" wrapText="1"/>
    </xf>
    <xf numFmtId="0" fontId="4" fillId="2" borderId="28" xfId="0" applyFont="1" applyFill="1" applyBorder="1" applyAlignment="1">
      <alignment horizontal="left" wrapText="1"/>
    </xf>
    <xf numFmtId="0" fontId="4" fillId="2" borderId="29" xfId="0" applyFont="1" applyFill="1" applyBorder="1" applyAlignment="1">
      <alignment horizontal="left" wrapText="1"/>
    </xf>
    <xf numFmtId="0" fontId="4" fillId="2" borderId="30" xfId="0" applyFont="1" applyFill="1" applyBorder="1" applyAlignment="1">
      <alignment horizontal="left" wrapText="1"/>
    </xf>
    <xf numFmtId="0" fontId="3" fillId="2" borderId="48" xfId="0" applyFont="1" applyFill="1" applyBorder="1" applyAlignment="1">
      <alignment horizontal="left" wrapText="1"/>
    </xf>
    <xf numFmtId="0" fontId="3" fillId="2" borderId="18" xfId="0" applyFont="1" applyFill="1" applyBorder="1" applyAlignment="1">
      <alignment horizontal="left" wrapText="1"/>
    </xf>
    <xf numFmtId="0" fontId="3" fillId="2" borderId="49" xfId="0" applyFont="1" applyFill="1" applyBorder="1" applyAlignment="1">
      <alignment horizontal="left" wrapText="1"/>
    </xf>
    <xf numFmtId="0" fontId="2" fillId="2" borderId="65" xfId="0" applyFont="1" applyFill="1" applyBorder="1" applyAlignment="1">
      <alignment horizontal="left" wrapText="1"/>
    </xf>
    <xf numFmtId="0" fontId="2" fillId="2" borderId="0" xfId="0" applyFont="1" applyFill="1" applyBorder="1" applyAlignment="1">
      <alignment horizontal="left" wrapText="1"/>
    </xf>
    <xf numFmtId="0" fontId="2" fillId="2" borderId="41" xfId="0" applyFont="1" applyFill="1" applyBorder="1" applyAlignment="1">
      <alignment horizontal="left" wrapText="1"/>
    </xf>
    <xf numFmtId="0" fontId="2" fillId="2" borderId="39" xfId="0" applyFont="1" applyFill="1" applyBorder="1" applyAlignment="1">
      <alignment horizontal="left" wrapText="1"/>
    </xf>
    <xf numFmtId="0" fontId="2" fillId="2" borderId="7" xfId="0" applyFont="1" applyFill="1" applyBorder="1" applyAlignment="1">
      <alignment horizontal="left" wrapText="1"/>
    </xf>
    <xf numFmtId="0" fontId="2" fillId="2" borderId="40" xfId="0" applyFont="1" applyFill="1" applyBorder="1" applyAlignment="1">
      <alignment horizontal="left" wrapText="1"/>
    </xf>
    <xf numFmtId="0" fontId="5" fillId="4" borderId="28" xfId="0" applyFont="1" applyFill="1" applyBorder="1" applyAlignment="1">
      <alignment horizontal="center" wrapText="1"/>
    </xf>
    <xf numFmtId="0" fontId="5" fillId="4" borderId="29" xfId="0" applyFont="1" applyFill="1" applyBorder="1" applyAlignment="1">
      <alignment horizontal="center" wrapText="1"/>
    </xf>
    <xf numFmtId="0" fontId="5" fillId="4" borderId="30" xfId="0" applyFont="1" applyFill="1" applyBorder="1" applyAlignment="1">
      <alignment horizontal="center" wrapText="1"/>
    </xf>
    <xf numFmtId="0" fontId="47" fillId="17" borderId="48" xfId="0" applyFont="1" applyFill="1" applyBorder="1" applyAlignment="1">
      <alignment horizontal="center" vertical="top" wrapText="1"/>
    </xf>
    <xf numFmtId="0" fontId="20" fillId="17" borderId="49" xfId="0" applyFont="1" applyFill="1" applyBorder="1" applyAlignment="1">
      <alignment horizontal="center" vertical="top" wrapText="1"/>
    </xf>
    <xf numFmtId="0" fontId="20" fillId="17" borderId="65" xfId="0" applyFont="1" applyFill="1" applyBorder="1" applyAlignment="1">
      <alignment horizontal="center" vertical="top" wrapText="1"/>
    </xf>
    <xf numFmtId="0" fontId="20" fillId="17" borderId="41" xfId="0" applyFont="1" applyFill="1" applyBorder="1" applyAlignment="1">
      <alignment horizontal="center" vertical="top" wrapText="1"/>
    </xf>
    <xf numFmtId="0" fontId="44" fillId="15" borderId="28" xfId="0" applyFont="1" applyFill="1" applyBorder="1" applyAlignment="1">
      <alignment vertical="top" wrapText="1"/>
    </xf>
    <xf numFmtId="0" fontId="44" fillId="15" borderId="29" xfId="0" applyFont="1" applyFill="1" applyBorder="1" applyAlignment="1">
      <alignment vertical="top" wrapText="1"/>
    </xf>
    <xf numFmtId="0" fontId="44" fillId="15" borderId="18" xfId="0" applyFont="1" applyFill="1" applyBorder="1" applyAlignment="1">
      <alignment vertical="top" wrapText="1"/>
    </xf>
    <xf numFmtId="0" fontId="44" fillId="15" borderId="49" xfId="0" applyFont="1" applyFill="1" applyBorder="1" applyAlignment="1">
      <alignment vertical="top" wrapText="1"/>
    </xf>
    <xf numFmtId="0" fontId="44" fillId="15" borderId="39" xfId="0" applyFont="1" applyFill="1" applyBorder="1" applyAlignment="1">
      <alignment wrapText="1"/>
    </xf>
    <xf numFmtId="0" fontId="44" fillId="15" borderId="7" xfId="0" applyFont="1" applyFill="1" applyBorder="1" applyAlignment="1">
      <alignment wrapText="1"/>
    </xf>
    <xf numFmtId="0" fontId="44" fillId="15" borderId="40" xfId="0" applyFont="1" applyFill="1" applyBorder="1" applyAlignment="1">
      <alignment wrapText="1"/>
    </xf>
    <xf numFmtId="0" fontId="44" fillId="15" borderId="45" xfId="0" applyFont="1" applyFill="1" applyBorder="1" applyAlignment="1">
      <alignment wrapText="1"/>
    </xf>
    <xf numFmtId="0" fontId="44" fillId="15" borderId="46" xfId="0" applyFont="1" applyFill="1" applyBorder="1" applyAlignment="1">
      <alignment wrapText="1"/>
    </xf>
    <xf numFmtId="0" fontId="44" fillId="15" borderId="47" xfId="0" applyFont="1" applyFill="1" applyBorder="1" applyAlignment="1">
      <alignment wrapText="1"/>
    </xf>
    <xf numFmtId="0" fontId="42" fillId="15" borderId="34" xfId="0" applyFont="1" applyFill="1" applyBorder="1" applyAlignment="1">
      <alignment wrapText="1"/>
    </xf>
    <xf numFmtId="0" fontId="42" fillId="15" borderId="6" xfId="0" applyFont="1" applyFill="1" applyBorder="1" applyAlignment="1">
      <alignment wrapText="1"/>
    </xf>
    <xf numFmtId="0" fontId="42" fillId="15" borderId="35" xfId="0" applyFont="1" applyFill="1" applyBorder="1" applyAlignment="1">
      <alignment wrapText="1"/>
    </xf>
    <xf numFmtId="0" fontId="43" fillId="15" borderId="65" xfId="0" applyFont="1" applyFill="1" applyBorder="1" applyAlignment="1">
      <alignment wrapText="1"/>
    </xf>
    <xf numFmtId="0" fontId="43" fillId="15" borderId="0" xfId="0" applyFont="1" applyFill="1" applyBorder="1" applyAlignment="1">
      <alignment wrapText="1"/>
    </xf>
    <xf numFmtId="0" fontId="43" fillId="15" borderId="41" xfId="0" applyFont="1" applyFill="1" applyBorder="1" applyAlignment="1">
      <alignment wrapText="1"/>
    </xf>
    <xf numFmtId="0" fontId="43" fillId="15" borderId="39" xfId="0" applyFont="1" applyFill="1" applyBorder="1" applyAlignment="1">
      <alignment wrapText="1"/>
    </xf>
    <xf numFmtId="0" fontId="43" fillId="15" borderId="7" xfId="0" applyFont="1" applyFill="1" applyBorder="1" applyAlignment="1">
      <alignment wrapText="1"/>
    </xf>
    <xf numFmtId="0" fontId="43" fillId="15" borderId="40" xfId="0" applyFont="1" applyFill="1" applyBorder="1" applyAlignment="1">
      <alignment wrapText="1"/>
    </xf>
    <xf numFmtId="0" fontId="44" fillId="0" borderId="11" xfId="0" applyFont="1" applyBorder="1" applyAlignment="1">
      <alignment wrapText="1"/>
    </xf>
    <xf numFmtId="0" fontId="44" fillId="0" borderId="69" xfId="0" applyFont="1" applyBorder="1" applyAlignment="1">
      <alignment wrapText="1"/>
    </xf>
    <xf numFmtId="0" fontId="44" fillId="0" borderId="38" xfId="0" applyFont="1" applyBorder="1" applyAlignment="1">
      <alignment wrapText="1"/>
    </xf>
    <xf numFmtId="0" fontId="44" fillId="0" borderId="48" xfId="0" applyFont="1" applyBorder="1" applyAlignment="1">
      <alignment horizontal="center" wrapText="1"/>
    </xf>
    <xf numFmtId="0" fontId="44" fillId="0" borderId="49" xfId="0" applyFont="1" applyBorder="1" applyAlignment="1">
      <alignment horizontal="center" wrapText="1"/>
    </xf>
    <xf numFmtId="0" fontId="44" fillId="0" borderId="39" xfId="0" applyFont="1" applyBorder="1" applyAlignment="1">
      <alignment horizontal="center" wrapText="1"/>
    </xf>
    <xf numFmtId="0" fontId="44" fillId="0" borderId="40" xfId="0" applyFont="1" applyBorder="1" applyAlignment="1">
      <alignment horizontal="center" wrapText="1"/>
    </xf>
    <xf numFmtId="0" fontId="44" fillId="0" borderId="28" xfId="0" applyFont="1" applyBorder="1" applyAlignment="1">
      <alignment horizontal="center" wrapText="1"/>
    </xf>
    <xf numFmtId="0" fontId="44" fillId="0" borderId="29" xfId="0" applyFont="1" applyBorder="1" applyAlignment="1">
      <alignment horizontal="center" wrapText="1"/>
    </xf>
    <xf numFmtId="0" fontId="44" fillId="0" borderId="30" xfId="0" applyFont="1" applyBorder="1" applyAlignment="1">
      <alignment horizontal="center" wrapText="1"/>
    </xf>
    <xf numFmtId="0" fontId="20" fillId="0" borderId="28" xfId="0" applyFont="1" applyBorder="1" applyAlignment="1">
      <alignment horizontal="center" wrapText="1"/>
    </xf>
    <xf numFmtId="0" fontId="20" fillId="0" borderId="30" xfId="0" applyFont="1" applyBorder="1" applyAlignment="1">
      <alignment horizontal="center" wrapText="1"/>
    </xf>
    <xf numFmtId="0" fontId="7" fillId="0" borderId="5" xfId="0" applyFont="1" applyBorder="1" applyAlignment="1">
      <alignment horizontal="center" wrapText="1"/>
    </xf>
    <xf numFmtId="0" fontId="7" fillId="0" borderId="23" xfId="0" applyFont="1" applyBorder="1" applyAlignment="1">
      <alignment horizontal="center" wrapText="1"/>
    </xf>
    <xf numFmtId="0" fontId="4" fillId="2" borderId="20" xfId="0" applyFont="1" applyFill="1" applyBorder="1" applyAlignment="1">
      <alignment wrapText="1"/>
    </xf>
    <xf numFmtId="0" fontId="4" fillId="2" borderId="5" xfId="0" applyFont="1" applyFill="1" applyBorder="1" applyAlignment="1">
      <alignment wrapText="1"/>
    </xf>
    <xf numFmtId="0" fontId="4" fillId="2" borderId="21" xfId="0" applyFont="1" applyFill="1" applyBorder="1" applyAlignment="1">
      <alignment wrapText="1"/>
    </xf>
    <xf numFmtId="0" fontId="12" fillId="0" borderId="23" xfId="0" applyFont="1" applyBorder="1" applyAlignment="1">
      <alignment horizontal="center" wrapText="1"/>
    </xf>
    <xf numFmtId="0" fontId="12" fillId="0" borderId="24" xfId="0" applyFont="1" applyBorder="1" applyAlignment="1">
      <alignment horizontal="center" wrapText="1"/>
    </xf>
    <xf numFmtId="0" fontId="4" fillId="2" borderId="22" xfId="0" applyFont="1" applyFill="1" applyBorder="1" applyAlignment="1">
      <alignment wrapText="1"/>
    </xf>
    <xf numFmtId="0" fontId="4" fillId="2" borderId="23" xfId="0" applyFont="1" applyFill="1" applyBorder="1" applyAlignment="1">
      <alignment wrapText="1"/>
    </xf>
    <xf numFmtId="0" fontId="4" fillId="2" borderId="24" xfId="0" applyFont="1" applyFill="1" applyBorder="1" applyAlignment="1">
      <alignment wrapText="1"/>
    </xf>
    <xf numFmtId="0" fontId="4" fillId="0" borderId="20" xfId="0" applyFont="1" applyBorder="1" applyAlignment="1">
      <alignment wrapText="1"/>
    </xf>
    <xf numFmtId="0" fontId="7" fillId="0" borderId="21" xfId="0" applyFont="1" applyBorder="1" applyAlignment="1">
      <alignment horizontal="center" wrapText="1"/>
    </xf>
    <xf numFmtId="0" fontId="13" fillId="9" borderId="129" xfId="0" applyFont="1" applyFill="1" applyBorder="1" applyAlignment="1">
      <alignment horizontal="center" vertical="center" wrapText="1"/>
    </xf>
    <xf numFmtId="0" fontId="5" fillId="9" borderId="130" xfId="0" applyFont="1" applyFill="1" applyBorder="1" applyAlignment="1">
      <alignment horizontal="center" vertical="center" wrapText="1"/>
    </xf>
    <xf numFmtId="0" fontId="5" fillId="9" borderId="99"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31" xfId="0" applyFont="1" applyFill="1" applyBorder="1" applyAlignment="1">
      <alignment horizontal="center" vertical="center" wrapText="1"/>
    </xf>
    <xf numFmtId="0" fontId="5" fillId="9" borderId="134" xfId="0" applyFont="1" applyFill="1" applyBorder="1" applyAlignment="1">
      <alignment horizontal="center" vertical="center" wrapText="1"/>
    </xf>
    <xf numFmtId="0" fontId="3" fillId="2" borderId="117" xfId="0" applyFont="1" applyFill="1" applyBorder="1" applyAlignment="1">
      <alignment wrapText="1"/>
    </xf>
    <xf numFmtId="0" fontId="3" fillId="2" borderId="118" xfId="0" applyFont="1" applyFill="1" applyBorder="1" applyAlignment="1">
      <alignment wrapText="1"/>
    </xf>
    <xf numFmtId="0" fontId="3" fillId="2" borderId="119" xfId="0" applyFont="1" applyFill="1" applyBorder="1" applyAlignment="1">
      <alignment wrapText="1"/>
    </xf>
    <xf numFmtId="0" fontId="2" fillId="2" borderId="108" xfId="0" applyFont="1" applyFill="1" applyBorder="1" applyAlignment="1">
      <alignment wrapText="1"/>
    </xf>
    <xf numFmtId="0" fontId="2" fillId="2" borderId="109" xfId="0" applyFont="1" applyFill="1" applyBorder="1" applyAlignment="1">
      <alignment wrapText="1"/>
    </xf>
    <xf numFmtId="0" fontId="2" fillId="2" borderId="110" xfId="0" applyFont="1" applyFill="1" applyBorder="1" applyAlignment="1">
      <alignment wrapText="1"/>
    </xf>
    <xf numFmtId="0" fontId="2" fillId="2" borderId="111" xfId="0" applyFont="1" applyFill="1" applyBorder="1" applyAlignment="1">
      <alignment wrapText="1"/>
    </xf>
    <xf numFmtId="0" fontId="2" fillId="2" borderId="112" xfId="0" applyFont="1" applyFill="1" applyBorder="1" applyAlignment="1">
      <alignment wrapText="1"/>
    </xf>
    <xf numFmtId="0" fontId="2" fillId="2" borderId="113" xfId="0" applyFont="1" applyFill="1" applyBorder="1" applyAlignment="1">
      <alignment wrapText="1"/>
    </xf>
    <xf numFmtId="0" fontId="13" fillId="9" borderId="132" xfId="0" applyFont="1" applyFill="1" applyBorder="1" applyAlignment="1">
      <alignment horizontal="center" vertical="center" wrapText="1"/>
    </xf>
    <xf numFmtId="0" fontId="13" fillId="9" borderId="99" xfId="0" applyFont="1" applyFill="1" applyBorder="1" applyAlignment="1">
      <alignment horizontal="center" vertical="center" wrapText="1"/>
    </xf>
    <xf numFmtId="0" fontId="13" fillId="9" borderId="31" xfId="0" applyFont="1" applyFill="1" applyBorder="1" applyAlignment="1">
      <alignment horizontal="center" vertical="center" wrapText="1"/>
    </xf>
    <xf numFmtId="0" fontId="13" fillId="9" borderId="131" xfId="0" applyFont="1" applyFill="1" applyBorder="1" applyAlignment="1">
      <alignment horizontal="center" vertical="center" wrapText="1"/>
    </xf>
    <xf numFmtId="0" fontId="13" fillId="9" borderId="133" xfId="0" applyFont="1" applyFill="1" applyBorder="1" applyAlignment="1">
      <alignment horizontal="center" vertical="center" wrapText="1"/>
    </xf>
    <xf numFmtId="0" fontId="4" fillId="0" borderId="5" xfId="0" applyFont="1" applyBorder="1" applyAlignment="1">
      <alignment horizontal="center" wrapText="1"/>
    </xf>
    <xf numFmtId="0" fontId="4" fillId="0" borderId="23" xfId="0" applyFont="1" applyBorder="1" applyAlignment="1">
      <alignment horizontal="center" wrapText="1"/>
    </xf>
    <xf numFmtId="0" fontId="4" fillId="2" borderId="78" xfId="0" applyFont="1" applyFill="1" applyBorder="1" applyAlignment="1">
      <alignment vertical="top" wrapText="1"/>
    </xf>
    <xf numFmtId="0" fontId="4" fillId="2" borderId="75" xfId="0" applyFont="1" applyFill="1" applyBorder="1" applyAlignment="1">
      <alignment vertical="top" wrapText="1"/>
    </xf>
    <xf numFmtId="0" fontId="4" fillId="2" borderId="120" xfId="0" applyFont="1" applyFill="1" applyBorder="1" applyAlignment="1">
      <alignment wrapText="1"/>
    </xf>
    <xf numFmtId="0" fontId="4" fillId="2" borderId="121" xfId="0" applyFont="1" applyFill="1" applyBorder="1" applyAlignment="1">
      <alignment wrapText="1"/>
    </xf>
    <xf numFmtId="0" fontId="4" fillId="2" borderId="122" xfId="0" applyFont="1" applyFill="1" applyBorder="1" applyAlignment="1">
      <alignment wrapText="1"/>
    </xf>
    <xf numFmtId="0" fontId="4" fillId="0" borderId="117" xfId="0" applyFont="1" applyBorder="1" applyAlignment="1">
      <alignment horizontal="center" wrapText="1"/>
    </xf>
    <xf numFmtId="0" fontId="4" fillId="0" borderId="108" xfId="0" applyFont="1" applyBorder="1" applyAlignment="1">
      <alignment horizontal="center" wrapText="1"/>
    </xf>
    <xf numFmtId="0" fontId="4" fillId="0" borderId="111" xfId="0" applyFont="1" applyBorder="1" applyAlignment="1">
      <alignment horizontal="center" wrapText="1"/>
    </xf>
    <xf numFmtId="0" fontId="4" fillId="0" borderId="21" xfId="0" applyFont="1" applyBorder="1" applyAlignment="1">
      <alignment horizontal="center" wrapText="1"/>
    </xf>
    <xf numFmtId="0" fontId="5" fillId="0" borderId="23" xfId="0" applyFont="1" applyBorder="1" applyAlignment="1">
      <alignment horizontal="center" wrapText="1"/>
    </xf>
    <xf numFmtId="0" fontId="5" fillId="0" borderId="24" xfId="0" applyFont="1" applyBorder="1" applyAlignment="1">
      <alignment horizontal="center" wrapText="1"/>
    </xf>
    <xf numFmtId="0" fontId="5" fillId="0" borderId="22" xfId="0" applyFont="1" applyBorder="1" applyAlignment="1">
      <alignment horizontal="center" wrapText="1"/>
    </xf>
    <xf numFmtId="0" fontId="5" fillId="0" borderId="25" xfId="0" applyFont="1" applyBorder="1" applyAlignment="1">
      <alignment horizontal="center" wrapText="1"/>
    </xf>
    <xf numFmtId="0" fontId="5" fillId="4" borderId="23" xfId="0" applyFont="1" applyFill="1" applyBorder="1" applyAlignment="1">
      <alignment horizontal="center" wrapText="1"/>
    </xf>
    <xf numFmtId="0" fontId="5" fillId="4" borderId="26" xfId="0" applyFont="1" applyFill="1" applyBorder="1" applyAlignment="1">
      <alignment horizontal="center" wrapText="1"/>
    </xf>
    <xf numFmtId="0" fontId="5" fillId="0" borderId="26" xfId="0" applyFont="1" applyBorder="1" applyAlignment="1">
      <alignment horizontal="center" wrapText="1"/>
    </xf>
    <xf numFmtId="0" fontId="0" fillId="0" borderId="23" xfId="0" applyBorder="1" applyAlignment="1">
      <alignment horizontal="center"/>
    </xf>
    <xf numFmtId="0" fontId="0" fillId="0" borderId="26" xfId="0" applyBorder="1" applyAlignment="1">
      <alignment horizontal="center"/>
    </xf>
    <xf numFmtId="0" fontId="0" fillId="0" borderId="24" xfId="0" applyBorder="1" applyAlignment="1">
      <alignment horizontal="center"/>
    </xf>
    <xf numFmtId="0" fontId="0" fillId="0" borderId="27" xfId="0" applyBorder="1" applyAlignment="1">
      <alignment horizontal="center"/>
    </xf>
    <xf numFmtId="0" fontId="4" fillId="0" borderId="24" xfId="0" applyFont="1" applyBorder="1" applyAlignment="1">
      <alignment horizontal="center" wrapText="1"/>
    </xf>
    <xf numFmtId="0" fontId="9" fillId="2" borderId="22" xfId="0" applyFont="1" applyFill="1" applyBorder="1" applyAlignment="1">
      <alignment horizontal="center" vertical="top" wrapText="1"/>
    </xf>
    <xf numFmtId="0" fontId="9" fillId="2" borderId="23" xfId="0" applyFont="1" applyFill="1" applyBorder="1" applyAlignment="1">
      <alignment horizontal="center" vertical="top" wrapText="1"/>
    </xf>
    <xf numFmtId="0" fontId="9" fillId="2" borderId="24" xfId="0" applyFont="1" applyFill="1" applyBorder="1" applyAlignment="1">
      <alignment horizontal="center" vertical="top" wrapText="1"/>
    </xf>
    <xf numFmtId="0" fontId="4" fillId="2" borderId="20" xfId="0" applyFont="1" applyFill="1" applyBorder="1" applyAlignment="1">
      <alignment vertical="top" wrapText="1"/>
    </xf>
    <xf numFmtId="0" fontId="4" fillId="2" borderId="5" xfId="0" applyFont="1" applyFill="1" applyBorder="1" applyAlignment="1">
      <alignment vertical="top" wrapText="1"/>
    </xf>
    <xf numFmtId="0" fontId="4" fillId="2" borderId="21" xfId="0" applyFont="1" applyFill="1" applyBorder="1" applyAlignment="1">
      <alignment vertical="top" wrapText="1"/>
    </xf>
    <xf numFmtId="0" fontId="4" fillId="0" borderId="22" xfId="0" applyFont="1" applyBorder="1" applyAlignment="1">
      <alignment horizontal="center" wrapText="1"/>
    </xf>
    <xf numFmtId="0" fontId="4" fillId="2" borderId="22" xfId="0" applyFont="1" applyFill="1" applyBorder="1" applyAlignment="1">
      <alignment vertical="top" wrapText="1"/>
    </xf>
    <xf numFmtId="0" fontId="4" fillId="2" borderId="23" xfId="0" applyFont="1" applyFill="1" applyBorder="1" applyAlignment="1">
      <alignment vertical="top" wrapText="1"/>
    </xf>
    <xf numFmtId="0" fontId="4" fillId="2" borderId="24" xfId="0" applyFont="1" applyFill="1" applyBorder="1" applyAlignment="1">
      <alignment vertical="top" wrapText="1"/>
    </xf>
    <xf numFmtId="0" fontId="3" fillId="2" borderId="126" xfId="0" applyFont="1" applyFill="1" applyBorder="1" applyAlignment="1">
      <alignment wrapText="1"/>
    </xf>
    <xf numFmtId="0" fontId="3" fillId="2" borderId="127" xfId="0" applyFont="1" applyFill="1" applyBorder="1" applyAlignment="1">
      <alignment wrapText="1"/>
    </xf>
    <xf numFmtId="0" fontId="3" fillId="2" borderId="128" xfId="0" applyFont="1" applyFill="1" applyBorder="1" applyAlignment="1">
      <alignment wrapText="1"/>
    </xf>
    <xf numFmtId="0" fontId="2" fillId="2" borderId="22" xfId="0" applyFont="1" applyFill="1" applyBorder="1" applyAlignment="1">
      <alignment wrapText="1"/>
    </xf>
    <xf numFmtId="0" fontId="2" fillId="2" borderId="23" xfId="0" applyFont="1" applyFill="1" applyBorder="1" applyAlignment="1">
      <alignment wrapText="1"/>
    </xf>
    <xf numFmtId="0" fontId="2" fillId="2" borderId="24" xfId="0" applyFont="1" applyFill="1" applyBorder="1" applyAlignment="1">
      <alignment wrapText="1"/>
    </xf>
    <xf numFmtId="10" fontId="12" fillId="3" borderId="9" xfId="0" applyNumberFormat="1" applyFont="1" applyFill="1" applyBorder="1" applyAlignment="1">
      <alignment horizontal="center" vertical="top" wrapText="1"/>
    </xf>
    <xf numFmtId="10" fontId="12" fillId="3" borderId="8" xfId="0" applyNumberFormat="1" applyFont="1" applyFill="1" applyBorder="1" applyAlignment="1">
      <alignment horizontal="center" vertical="top" wrapText="1"/>
    </xf>
    <xf numFmtId="9" fontId="12" fillId="3" borderId="139" xfId="0" applyNumberFormat="1" applyFont="1" applyFill="1" applyBorder="1" applyAlignment="1">
      <alignment horizontal="center" wrapText="1"/>
    </xf>
    <xf numFmtId="9" fontId="12" fillId="3" borderId="140" xfId="0" applyNumberFormat="1" applyFont="1" applyFill="1" applyBorder="1" applyAlignment="1">
      <alignment horizontal="center" wrapText="1"/>
    </xf>
    <xf numFmtId="0" fontId="4" fillId="2" borderId="136" xfId="0" applyFont="1" applyFill="1" applyBorder="1" applyAlignment="1">
      <alignment wrapText="1"/>
    </xf>
    <xf numFmtId="0" fontId="4" fillId="2" borderId="67" xfId="0" applyFont="1" applyFill="1" applyBorder="1" applyAlignment="1">
      <alignment wrapText="1"/>
    </xf>
    <xf numFmtId="0" fontId="4" fillId="2" borderId="135" xfId="0" applyFont="1" applyFill="1" applyBorder="1" applyAlignment="1">
      <alignment wrapText="1"/>
    </xf>
    <xf numFmtId="0" fontId="7" fillId="0" borderId="20" xfId="0" applyFont="1" applyBorder="1" applyAlignment="1">
      <alignment wrapText="1"/>
    </xf>
    <xf numFmtId="0" fontId="7" fillId="0" borderId="22" xfId="0" applyFont="1" applyBorder="1" applyAlignment="1">
      <alignment wrapText="1"/>
    </xf>
    <xf numFmtId="0" fontId="4" fillId="2" borderId="136" xfId="0" applyFont="1" applyFill="1" applyBorder="1" applyAlignment="1">
      <alignment vertical="top" wrapText="1"/>
    </xf>
    <xf numFmtId="0" fontId="4" fillId="2" borderId="67" xfId="0" applyFont="1" applyFill="1" applyBorder="1" applyAlignment="1">
      <alignment vertical="top" wrapText="1"/>
    </xf>
    <xf numFmtId="0" fontId="4" fillId="2" borderId="135" xfId="0" applyFont="1" applyFill="1" applyBorder="1" applyAlignment="1">
      <alignment vertical="top" wrapText="1"/>
    </xf>
    <xf numFmtId="0" fontId="0" fillId="0" borderId="15" xfId="0" applyBorder="1" applyAlignment="1">
      <alignment horizontal="center"/>
    </xf>
    <xf numFmtId="0" fontId="4" fillId="3" borderId="23" xfId="0" applyFont="1" applyFill="1" applyBorder="1" applyAlignment="1">
      <alignment horizontal="center" wrapText="1"/>
    </xf>
    <xf numFmtId="10" fontId="12" fillId="3" borderId="23" xfId="0" applyNumberFormat="1" applyFont="1" applyFill="1" applyBorder="1" applyAlignment="1">
      <alignment horizontal="center" vertical="top" wrapText="1"/>
    </xf>
    <xf numFmtId="9" fontId="12" fillId="3" borderId="26" xfId="0" applyNumberFormat="1" applyFont="1" applyFill="1" applyBorder="1" applyAlignment="1">
      <alignment horizontal="center" wrapText="1"/>
    </xf>
    <xf numFmtId="0" fontId="5" fillId="2" borderId="23" xfId="0" applyFont="1" applyFill="1" applyBorder="1" applyAlignment="1">
      <alignment horizontal="center" vertical="top" wrapText="1"/>
    </xf>
    <xf numFmtId="0" fontId="5" fillId="2" borderId="26" xfId="0" applyFont="1" applyFill="1" applyBorder="1" applyAlignment="1">
      <alignment horizontal="center" vertical="top" wrapText="1"/>
    </xf>
    <xf numFmtId="0" fontId="5" fillId="2" borderId="24" xfId="0" applyFont="1" applyFill="1" applyBorder="1" applyAlignment="1">
      <alignment horizontal="center" vertical="top" wrapText="1"/>
    </xf>
    <xf numFmtId="0" fontId="5" fillId="2" borderId="27" xfId="0" applyFont="1" applyFill="1" applyBorder="1" applyAlignment="1">
      <alignment horizontal="center" vertical="top" wrapText="1"/>
    </xf>
    <xf numFmtId="0" fontId="12" fillId="3" borderId="26" xfId="0" applyFont="1" applyFill="1" applyBorder="1" applyAlignment="1">
      <alignment horizontal="center" wrapText="1"/>
    </xf>
    <xf numFmtId="0" fontId="5" fillId="0" borderId="9" xfId="0" applyFont="1" applyBorder="1" applyAlignment="1">
      <alignment horizontal="center" vertical="top" wrapText="1"/>
    </xf>
    <xf numFmtId="0" fontId="5" fillId="0" borderId="8" xfId="0" applyFont="1" applyBorder="1" applyAlignment="1">
      <alignment horizontal="center" vertical="top" wrapText="1"/>
    </xf>
    <xf numFmtId="0" fontId="15" fillId="0" borderId="23" xfId="0" applyFont="1" applyBorder="1" applyAlignment="1">
      <alignment horizontal="center" wrapText="1"/>
    </xf>
    <xf numFmtId="0" fontId="15" fillId="0" borderId="24" xfId="0" applyFont="1" applyBorder="1" applyAlignment="1">
      <alignment horizontal="center" wrapText="1"/>
    </xf>
    <xf numFmtId="0" fontId="4" fillId="3" borderId="24" xfId="0" applyFont="1" applyFill="1" applyBorder="1" applyAlignment="1">
      <alignment horizontal="center" wrapText="1"/>
    </xf>
    <xf numFmtId="0" fontId="34" fillId="14" borderId="51" xfId="4" applyFont="1" applyFill="1" applyBorder="1" applyAlignment="1">
      <alignment wrapText="1"/>
    </xf>
    <xf numFmtId="0" fontId="34" fillId="14" borderId="52" xfId="4" applyFont="1" applyFill="1" applyBorder="1" applyAlignment="1">
      <alignment wrapText="1"/>
    </xf>
    <xf numFmtId="0" fontId="34" fillId="14" borderId="53" xfId="4" applyFont="1" applyFill="1" applyBorder="1" applyAlignment="1">
      <alignment wrapText="1"/>
    </xf>
    <xf numFmtId="0" fontId="35" fillId="14" borderId="108" xfId="4" applyFont="1" applyFill="1" applyBorder="1" applyAlignment="1">
      <alignment wrapText="1"/>
    </xf>
    <xf numFmtId="0" fontId="35" fillId="14" borderId="109" xfId="4" applyFont="1" applyFill="1" applyBorder="1" applyAlignment="1">
      <alignment wrapText="1"/>
    </xf>
    <xf numFmtId="0" fontId="35" fillId="14" borderId="110" xfId="4" applyFont="1" applyFill="1" applyBorder="1" applyAlignment="1">
      <alignment wrapText="1"/>
    </xf>
    <xf numFmtId="0" fontId="35" fillId="14" borderId="111" xfId="4" applyFont="1" applyFill="1" applyBorder="1" applyAlignment="1">
      <alignment wrapText="1"/>
    </xf>
    <xf numFmtId="0" fontId="35" fillId="14" borderId="112" xfId="4" applyFont="1" applyFill="1" applyBorder="1" applyAlignment="1">
      <alignment wrapText="1"/>
    </xf>
    <xf numFmtId="0" fontId="35" fillId="14" borderId="113" xfId="4" applyFont="1" applyFill="1" applyBorder="1" applyAlignment="1">
      <alignment wrapText="1"/>
    </xf>
    <xf numFmtId="0" fontId="38" fillId="0" borderId="20" xfId="4" applyFont="1" applyBorder="1" applyAlignment="1">
      <alignment wrapText="1"/>
    </xf>
    <xf numFmtId="0" fontId="38" fillId="0" borderId="22" xfId="4" applyFont="1" applyBorder="1" applyAlignment="1">
      <alignment wrapText="1"/>
    </xf>
    <xf numFmtId="0" fontId="38" fillId="0" borderId="5" xfId="4" applyFont="1" applyBorder="1" applyAlignment="1">
      <alignment horizontal="center" wrapText="1"/>
    </xf>
    <xf numFmtId="0" fontId="38" fillId="0" borderId="21" xfId="4" applyFont="1" applyBorder="1" applyAlignment="1">
      <alignment horizontal="center" wrapText="1"/>
    </xf>
    <xf numFmtId="0" fontId="34" fillId="14" borderId="51" xfId="3" applyFont="1" applyFill="1" applyBorder="1" applyAlignment="1">
      <alignment wrapText="1"/>
    </xf>
    <xf numFmtId="0" fontId="34" fillId="14" borderId="52" xfId="3" applyFont="1" applyFill="1" applyBorder="1" applyAlignment="1">
      <alignment wrapText="1"/>
    </xf>
    <xf numFmtId="0" fontId="34" fillId="14" borderId="53" xfId="3" applyFont="1" applyFill="1" applyBorder="1" applyAlignment="1">
      <alignment wrapText="1"/>
    </xf>
    <xf numFmtId="0" fontId="35" fillId="14" borderId="108" xfId="3" applyFont="1" applyFill="1" applyBorder="1" applyAlignment="1">
      <alignment wrapText="1"/>
    </xf>
    <xf numFmtId="0" fontId="35" fillId="14" borderId="109" xfId="3" applyFont="1" applyFill="1" applyBorder="1" applyAlignment="1">
      <alignment wrapText="1"/>
    </xf>
    <xf numFmtId="0" fontId="35" fillId="14" borderId="110" xfId="3" applyFont="1" applyFill="1" applyBorder="1" applyAlignment="1">
      <alignment wrapText="1"/>
    </xf>
    <xf numFmtId="0" fontId="35" fillId="14" borderId="111" xfId="3" applyFont="1" applyFill="1" applyBorder="1" applyAlignment="1">
      <alignment wrapText="1"/>
    </xf>
    <xf numFmtId="0" fontId="35" fillId="14" borderId="112" xfId="3" applyFont="1" applyFill="1" applyBorder="1" applyAlignment="1">
      <alignment wrapText="1"/>
    </xf>
    <xf numFmtId="0" fontId="35" fillId="14" borderId="113" xfId="3" applyFont="1" applyFill="1" applyBorder="1" applyAlignment="1">
      <alignment wrapText="1"/>
    </xf>
    <xf numFmtId="0" fontId="38" fillId="0" borderId="20" xfId="3" applyFont="1" applyBorder="1" applyAlignment="1">
      <alignment wrapText="1"/>
    </xf>
    <xf numFmtId="0" fontId="38" fillId="0" borderId="22" xfId="3" applyFont="1" applyBorder="1" applyAlignment="1">
      <alignment wrapText="1"/>
    </xf>
    <xf numFmtId="0" fontId="38" fillId="0" borderId="5" xfId="3" applyFont="1" applyBorder="1" applyAlignment="1">
      <alignment horizontal="center" wrapText="1"/>
    </xf>
    <xf numFmtId="0" fontId="38" fillId="0" borderId="21" xfId="3" applyFont="1" applyBorder="1" applyAlignment="1">
      <alignment horizontal="center" wrapText="1"/>
    </xf>
    <xf numFmtId="10" fontId="12" fillId="3" borderId="116" xfId="0" applyNumberFormat="1" applyFont="1" applyFill="1" applyBorder="1" applyAlignment="1">
      <alignment horizontal="center" vertical="top" wrapText="1"/>
    </xf>
    <xf numFmtId="10" fontId="12" fillId="3" borderId="21" xfId="0" applyNumberFormat="1" applyFont="1" applyFill="1" applyBorder="1" applyAlignment="1">
      <alignment horizontal="center" vertical="top" wrapText="1"/>
    </xf>
    <xf numFmtId="0" fontId="5" fillId="0" borderId="114" xfId="0" applyFont="1" applyBorder="1" applyAlignment="1">
      <alignment horizontal="center" vertical="top" wrapText="1"/>
    </xf>
    <xf numFmtId="0" fontId="5" fillId="0" borderId="20" xfId="0" applyFont="1" applyBorder="1" applyAlignment="1">
      <alignment horizontal="center" vertical="top" wrapText="1"/>
    </xf>
    <xf numFmtId="0" fontId="5" fillId="0" borderId="115" xfId="0" applyFont="1" applyBorder="1" applyAlignment="1">
      <alignment horizontal="center" vertical="top" wrapText="1"/>
    </xf>
    <xf numFmtId="0" fontId="5" fillId="0" borderId="5" xfId="0" applyFont="1" applyBorder="1" applyAlignment="1">
      <alignment horizontal="center" vertical="top" wrapText="1"/>
    </xf>
    <xf numFmtId="10" fontId="12" fillId="3" borderId="110" xfId="0" applyNumberFormat="1" applyFont="1" applyFill="1" applyBorder="1" applyAlignment="1">
      <alignment horizontal="center" vertical="top" wrapText="1"/>
    </xf>
    <xf numFmtId="0" fontId="5" fillId="0" borderId="108" xfId="0" applyFont="1" applyBorder="1" applyAlignment="1">
      <alignment horizontal="center" vertical="top" wrapText="1"/>
    </xf>
    <xf numFmtId="0" fontId="5" fillId="4" borderId="114" xfId="0" applyFont="1" applyFill="1" applyBorder="1" applyAlignment="1">
      <alignment horizontal="center" vertical="top" wrapText="1"/>
    </xf>
    <xf numFmtId="0" fontId="5" fillId="4" borderId="20" xfId="0" applyFont="1" applyFill="1" applyBorder="1" applyAlignment="1">
      <alignment horizontal="center" vertical="top" wrapText="1"/>
    </xf>
    <xf numFmtId="10" fontId="12" fillId="3" borderId="116" xfId="0" applyNumberFormat="1" applyFont="1" applyFill="1" applyBorder="1" applyAlignment="1">
      <alignment vertical="center" wrapText="1"/>
    </xf>
    <xf numFmtId="10" fontId="12" fillId="3" borderId="21" xfId="0" applyNumberFormat="1" applyFont="1" applyFill="1" applyBorder="1" applyAlignment="1">
      <alignment vertical="center" wrapText="1"/>
    </xf>
    <xf numFmtId="10" fontId="12" fillId="3" borderId="115" xfId="0" applyNumberFormat="1" applyFont="1" applyFill="1" applyBorder="1" applyAlignment="1">
      <alignment vertical="center" wrapText="1"/>
    </xf>
    <xf numFmtId="10" fontId="12" fillId="3" borderId="5" xfId="0" applyNumberFormat="1" applyFont="1" applyFill="1" applyBorder="1" applyAlignment="1">
      <alignment vertical="center" wrapText="1"/>
    </xf>
    <xf numFmtId="0" fontId="3" fillId="2" borderId="1" xfId="0" applyFont="1" applyFill="1" applyBorder="1" applyAlignment="1">
      <alignment wrapText="1"/>
    </xf>
    <xf numFmtId="0" fontId="3" fillId="2" borderId="2" xfId="0" applyFont="1" applyFill="1" applyBorder="1" applyAlignment="1">
      <alignment wrapText="1"/>
    </xf>
    <xf numFmtId="0" fontId="2" fillId="2" borderId="12" xfId="0" applyFont="1" applyFill="1" applyBorder="1" applyAlignment="1">
      <alignment wrapText="1"/>
    </xf>
    <xf numFmtId="0" fontId="2" fillId="2" borderId="0" xfId="0" applyFont="1" applyFill="1" applyBorder="1" applyAlignment="1">
      <alignment wrapText="1"/>
    </xf>
    <xf numFmtId="0" fontId="2" fillId="2" borderId="13" xfId="0" applyFont="1" applyFill="1" applyBorder="1" applyAlignment="1">
      <alignment wrapText="1"/>
    </xf>
    <xf numFmtId="0" fontId="7" fillId="0" borderId="55" xfId="0" applyFont="1" applyBorder="1" applyAlignment="1">
      <alignment horizontal="center" wrapText="1"/>
    </xf>
    <xf numFmtId="0" fontId="7" fillId="0" borderId="138" xfId="0" applyFont="1" applyBorder="1" applyAlignment="1">
      <alignment horizontal="center" wrapText="1"/>
    </xf>
    <xf numFmtId="0" fontId="7" fillId="0" borderId="24" xfId="0" applyFont="1" applyBorder="1" applyAlignment="1">
      <alignment horizontal="center" wrapText="1"/>
    </xf>
    <xf numFmtId="0" fontId="11" fillId="0" borderId="114" xfId="0" applyFont="1" applyBorder="1" applyAlignment="1">
      <alignment horizontal="left" vertical="top" wrapText="1"/>
    </xf>
    <xf numFmtId="0" fontId="11" fillId="0" borderId="108" xfId="0" applyFont="1" applyBorder="1" applyAlignment="1">
      <alignment horizontal="left" vertical="top" wrapText="1"/>
    </xf>
    <xf numFmtId="0" fontId="11" fillId="0" borderId="20" xfId="0" applyFont="1" applyBorder="1" applyAlignment="1">
      <alignment horizontal="left" vertical="top" wrapText="1"/>
    </xf>
    <xf numFmtId="0" fontId="11" fillId="0" borderId="22" xfId="0" applyFont="1" applyBorder="1" applyAlignment="1">
      <alignment vertical="top" wrapText="1"/>
    </xf>
    <xf numFmtId="0" fontId="12" fillId="7" borderId="115" xfId="0" applyFont="1" applyFill="1" applyBorder="1" applyAlignment="1">
      <alignment horizontal="center" vertical="top" wrapText="1"/>
    </xf>
    <xf numFmtId="0" fontId="12" fillId="7" borderId="109" xfId="0" applyFont="1" applyFill="1" applyBorder="1" applyAlignment="1">
      <alignment horizontal="center" vertical="top" wrapText="1"/>
    </xf>
    <xf numFmtId="0" fontId="12" fillId="7" borderId="5" xfId="0" applyFont="1" applyFill="1" applyBorder="1" applyAlignment="1">
      <alignment horizontal="center" vertical="top" wrapText="1"/>
    </xf>
    <xf numFmtId="0" fontId="12" fillId="7" borderId="115" xfId="0" applyFont="1" applyFill="1" applyBorder="1" applyAlignment="1">
      <alignment vertical="center" wrapText="1"/>
    </xf>
    <xf numFmtId="0" fontId="12" fillId="7" borderId="5" xfId="0" applyFont="1" applyFill="1" applyBorder="1" applyAlignment="1">
      <alignment vertical="center" wrapText="1"/>
    </xf>
    <xf numFmtId="0" fontId="11" fillId="0" borderId="114" xfId="0" applyFont="1" applyBorder="1" applyAlignment="1">
      <alignment horizontal="center" vertical="top" wrapText="1"/>
    </xf>
    <xf numFmtId="0" fontId="11" fillId="0" borderId="20" xfId="0" applyFont="1" applyBorder="1" applyAlignment="1">
      <alignment horizontal="center" vertical="top" wrapText="1"/>
    </xf>
    <xf numFmtId="0" fontId="5" fillId="0" borderId="115" xfId="0" applyFont="1" applyBorder="1" applyAlignment="1">
      <alignment vertical="top" wrapText="1"/>
    </xf>
    <xf numFmtId="0" fontId="5" fillId="0" borderId="5" xfId="0" applyFont="1" applyBorder="1" applyAlignment="1">
      <alignment vertical="top" wrapText="1"/>
    </xf>
    <xf numFmtId="0" fontId="4" fillId="0" borderId="115" xfId="0" applyFont="1" applyBorder="1" applyAlignment="1">
      <alignment wrapText="1"/>
    </xf>
    <xf numFmtId="0" fontId="4" fillId="0" borderId="5" xfId="0" applyFont="1" applyBorder="1" applyAlignment="1">
      <alignment wrapText="1"/>
    </xf>
    <xf numFmtId="10" fontId="12" fillId="3" borderId="109" xfId="0" applyNumberFormat="1" applyFont="1" applyFill="1" applyBorder="1" applyAlignment="1">
      <alignment vertical="center" wrapText="1"/>
    </xf>
    <xf numFmtId="0" fontId="4" fillId="0" borderId="109" xfId="0" applyFont="1" applyBorder="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12" fillId="0" borderId="115" xfId="0" applyFont="1" applyFill="1" applyBorder="1" applyAlignment="1">
      <alignment vertical="top" wrapText="1"/>
    </xf>
    <xf numFmtId="0" fontId="12" fillId="0" borderId="5" xfId="0" applyFont="1" applyFill="1" applyBorder="1" applyAlignment="1">
      <alignment vertical="top" wrapText="1"/>
    </xf>
    <xf numFmtId="0" fontId="5" fillId="0" borderId="22" xfId="0" applyFont="1" applyBorder="1" applyAlignment="1">
      <alignment horizontal="center" vertical="top" wrapText="1"/>
    </xf>
    <xf numFmtId="0" fontId="12" fillId="7" borderId="23" xfId="0" applyFont="1" applyFill="1" applyBorder="1" applyAlignment="1">
      <alignment horizontal="center" vertical="top" wrapText="1"/>
    </xf>
    <xf numFmtId="10" fontId="12" fillId="3" borderId="115" xfId="0" applyNumberFormat="1" applyFont="1" applyFill="1" applyBorder="1" applyAlignment="1">
      <alignment horizontal="center" vertical="top" wrapText="1"/>
    </xf>
    <xf numFmtId="10" fontId="12" fillId="3" borderId="5" xfId="0" applyNumberFormat="1" applyFont="1" applyFill="1" applyBorder="1" applyAlignment="1">
      <alignment horizontal="center" vertical="top" wrapText="1"/>
    </xf>
    <xf numFmtId="0" fontId="5" fillId="0" borderId="23" xfId="0" applyFont="1" applyBorder="1" applyAlignment="1">
      <alignment horizontal="center" vertical="top" wrapText="1"/>
    </xf>
    <xf numFmtId="0" fontId="4" fillId="0" borderId="115" xfId="0" applyFont="1" applyBorder="1" applyAlignment="1">
      <alignment horizontal="center" wrapText="1"/>
    </xf>
    <xf numFmtId="0" fontId="12" fillId="7" borderId="115" xfId="0" applyFont="1" applyFill="1" applyBorder="1" applyAlignment="1">
      <alignment horizontal="center" vertical="center" wrapText="1"/>
    </xf>
    <xf numFmtId="0" fontId="12" fillId="7" borderId="5" xfId="0" applyFont="1" applyFill="1" applyBorder="1" applyAlignment="1">
      <alignment horizontal="center" vertical="center" wrapText="1"/>
    </xf>
    <xf numFmtId="0" fontId="5" fillId="0" borderId="114" xfId="0" applyFont="1" applyBorder="1" applyAlignment="1">
      <alignment horizontal="left" vertical="top" wrapText="1"/>
    </xf>
    <xf numFmtId="0" fontId="5" fillId="0" borderId="20" xfId="0" applyFont="1" applyBorder="1" applyAlignment="1">
      <alignment horizontal="left" vertical="top" wrapText="1"/>
    </xf>
    <xf numFmtId="0" fontId="11" fillId="0" borderId="114" xfId="0" applyFont="1" applyBorder="1" applyAlignment="1">
      <alignment vertical="top" wrapText="1"/>
    </xf>
    <xf numFmtId="0" fontId="11" fillId="0" borderId="108" xfId="0" applyFont="1" applyBorder="1" applyAlignment="1">
      <alignment vertical="top" wrapText="1"/>
    </xf>
    <xf numFmtId="0" fontId="11" fillId="0" borderId="20" xfId="0" applyFont="1" applyBorder="1" applyAlignment="1">
      <alignment vertical="top" wrapText="1"/>
    </xf>
    <xf numFmtId="0" fontId="12" fillId="7" borderId="109" xfId="0" applyFont="1" applyFill="1" applyBorder="1" applyAlignment="1">
      <alignment vertical="center" wrapText="1"/>
    </xf>
    <xf numFmtId="0" fontId="11" fillId="0" borderId="108" xfId="0" applyFont="1" applyBorder="1" applyAlignment="1">
      <alignment horizontal="center" vertical="top" wrapText="1"/>
    </xf>
    <xf numFmtId="0" fontId="5" fillId="0" borderId="109" xfId="0" applyFont="1" applyBorder="1" applyAlignment="1">
      <alignment vertical="top" wrapText="1"/>
    </xf>
    <xf numFmtId="10" fontId="12" fillId="3" borderId="110" xfId="0" applyNumberFormat="1" applyFont="1" applyFill="1" applyBorder="1" applyAlignment="1">
      <alignment vertical="center" wrapText="1"/>
    </xf>
    <xf numFmtId="0" fontId="5" fillId="0" borderId="23" xfId="0" applyFont="1" applyBorder="1" applyAlignment="1">
      <alignment vertical="top" wrapText="1"/>
    </xf>
    <xf numFmtId="166" fontId="5" fillId="0" borderId="23" xfId="0" applyNumberFormat="1" applyFont="1" applyBorder="1" applyAlignment="1">
      <alignment horizontal="center" wrapText="1"/>
    </xf>
    <xf numFmtId="0" fontId="5" fillId="0" borderId="27" xfId="0" applyFont="1" applyBorder="1" applyAlignment="1">
      <alignment horizontal="center" wrapText="1"/>
    </xf>
    <xf numFmtId="0" fontId="3" fillId="2" borderId="51" xfId="0" applyFont="1" applyFill="1" applyBorder="1" applyAlignment="1">
      <alignment vertical="top" wrapText="1"/>
    </xf>
    <xf numFmtId="0" fontId="3" fillId="2" borderId="52" xfId="0" applyFont="1" applyFill="1" applyBorder="1" applyAlignment="1">
      <alignment vertical="top" wrapText="1"/>
    </xf>
    <xf numFmtId="0" fontId="3" fillId="2" borderId="53" xfId="0" applyFont="1" applyFill="1" applyBorder="1" applyAlignment="1">
      <alignment vertical="top" wrapText="1"/>
    </xf>
    <xf numFmtId="0" fontId="2" fillId="2" borderId="108" xfId="0" applyFont="1" applyFill="1" applyBorder="1" applyAlignment="1">
      <alignment vertical="top" wrapText="1"/>
    </xf>
    <xf numFmtId="0" fontId="2" fillId="2" borderId="109" xfId="0" applyFont="1" applyFill="1" applyBorder="1" applyAlignment="1">
      <alignment vertical="top" wrapText="1"/>
    </xf>
    <xf numFmtId="0" fontId="2" fillId="2" borderId="110" xfId="0" applyFont="1" applyFill="1" applyBorder="1" applyAlignment="1">
      <alignment vertical="top" wrapText="1"/>
    </xf>
    <xf numFmtId="0" fontId="2" fillId="2" borderId="111" xfId="0" applyFont="1" applyFill="1" applyBorder="1" applyAlignment="1">
      <alignment vertical="top" wrapText="1"/>
    </xf>
    <xf numFmtId="0" fontId="2" fillId="2" borderId="112" xfId="0" applyFont="1" applyFill="1" applyBorder="1" applyAlignment="1">
      <alignment vertical="top" wrapText="1"/>
    </xf>
    <xf numFmtId="0" fontId="2" fillId="2" borderId="113" xfId="0" applyFont="1" applyFill="1" applyBorder="1" applyAlignment="1">
      <alignment vertical="top" wrapText="1"/>
    </xf>
    <xf numFmtId="0" fontId="5" fillId="0" borderId="24" xfId="0" applyFont="1" applyBorder="1" applyAlignment="1">
      <alignment horizontal="center" vertical="top" wrapText="1"/>
    </xf>
    <xf numFmtId="0" fontId="4" fillId="0" borderId="20" xfId="0" applyFont="1" applyBorder="1" applyAlignment="1">
      <alignment horizontal="center" wrapText="1"/>
    </xf>
    <xf numFmtId="0" fontId="5" fillId="0" borderId="24" xfId="0" applyFont="1" applyBorder="1" applyAlignment="1">
      <alignment vertical="top" wrapText="1"/>
    </xf>
    <xf numFmtId="0" fontId="5" fillId="0" borderId="22" xfId="0" applyFont="1" applyBorder="1" applyAlignment="1">
      <alignment vertical="top" wrapText="1"/>
    </xf>
    <xf numFmtId="0" fontId="12" fillId="0" borderId="5" xfId="0" applyFont="1" applyBorder="1" applyAlignment="1">
      <alignment horizontal="center" wrapText="1"/>
    </xf>
    <xf numFmtId="0" fontId="12" fillId="0" borderId="21" xfId="0" applyFont="1" applyBorder="1" applyAlignment="1">
      <alignment horizontal="center" wrapText="1"/>
    </xf>
    <xf numFmtId="0" fontId="5" fillId="0" borderId="76" xfId="0" applyFont="1" applyBorder="1" applyAlignment="1">
      <alignment vertical="top" wrapText="1"/>
    </xf>
    <xf numFmtId="0" fontId="5" fillId="0" borderId="64" xfId="0" applyFont="1" applyBorder="1" applyAlignment="1">
      <alignment vertical="top" wrapText="1"/>
    </xf>
    <xf numFmtId="0" fontId="4" fillId="3" borderId="76" xfId="0" applyFont="1" applyFill="1" applyBorder="1" applyAlignment="1">
      <alignment vertical="top" wrapText="1"/>
    </xf>
    <xf numFmtId="0" fontId="4" fillId="3" borderId="64" xfId="0" applyFont="1" applyFill="1" applyBorder="1" applyAlignment="1">
      <alignment vertical="top" wrapText="1"/>
    </xf>
    <xf numFmtId="0" fontId="4" fillId="3" borderId="80" xfId="0" applyFont="1" applyFill="1" applyBorder="1" applyAlignment="1">
      <alignment vertical="top" wrapText="1"/>
    </xf>
    <xf numFmtId="0" fontId="4" fillId="3" borderId="72" xfId="0" applyFont="1" applyFill="1" applyBorder="1" applyAlignment="1">
      <alignment vertical="top" wrapText="1"/>
    </xf>
    <xf numFmtId="0" fontId="3" fillId="2" borderId="73" xfId="0" applyFont="1" applyFill="1" applyBorder="1" applyAlignment="1">
      <alignment wrapText="1"/>
    </xf>
    <xf numFmtId="0" fontId="3" fillId="2" borderId="50" xfId="0" applyFont="1" applyFill="1" applyBorder="1" applyAlignment="1">
      <alignment wrapText="1"/>
    </xf>
    <xf numFmtId="0" fontId="3" fillId="2" borderId="85" xfId="0" applyFont="1" applyFill="1" applyBorder="1" applyAlignment="1">
      <alignment wrapText="1"/>
    </xf>
    <xf numFmtId="0" fontId="2" fillId="2" borderId="74" xfId="0" applyFont="1" applyFill="1" applyBorder="1" applyAlignment="1">
      <alignment wrapText="1"/>
    </xf>
    <xf numFmtId="0" fontId="2" fillId="2" borderId="69" xfId="0" applyFont="1" applyFill="1" applyBorder="1" applyAlignment="1">
      <alignment wrapText="1"/>
    </xf>
    <xf numFmtId="0" fontId="2" fillId="2" borderId="86" xfId="0" applyFont="1" applyFill="1" applyBorder="1" applyAlignment="1">
      <alignment wrapText="1"/>
    </xf>
    <xf numFmtId="0" fontId="19" fillId="2" borderId="81" xfId="0" applyFont="1" applyFill="1" applyBorder="1" applyAlignment="1">
      <alignment wrapText="1"/>
    </xf>
    <xf numFmtId="0" fontId="19" fillId="2" borderId="10" xfId="0" applyFont="1" applyFill="1" applyBorder="1" applyAlignment="1">
      <alignment wrapText="1"/>
    </xf>
    <xf numFmtId="0" fontId="19" fillId="2" borderId="87" xfId="0" applyFont="1" applyFill="1" applyBorder="1" applyAlignment="1">
      <alignment wrapText="1"/>
    </xf>
    <xf numFmtId="0" fontId="4" fillId="0" borderId="64" xfId="0" applyFont="1" applyBorder="1" applyAlignment="1">
      <alignment horizontal="center" wrapText="1"/>
    </xf>
    <xf numFmtId="0" fontId="4" fillId="0" borderId="77" xfId="0" applyFont="1" applyBorder="1" applyAlignment="1">
      <alignment horizontal="center" wrapText="1"/>
    </xf>
    <xf numFmtId="0" fontId="5" fillId="0" borderId="77" xfId="0" applyFont="1" applyBorder="1" applyAlignment="1">
      <alignment vertical="top" wrapText="1"/>
    </xf>
    <xf numFmtId="0" fontId="12" fillId="3" borderId="64" xfId="0" applyFont="1" applyFill="1" applyBorder="1" applyAlignment="1">
      <alignment horizontal="center" vertical="top" wrapText="1"/>
    </xf>
    <xf numFmtId="0" fontId="12" fillId="3" borderId="77" xfId="0" applyFont="1" applyFill="1" applyBorder="1" applyAlignment="1">
      <alignment horizontal="center" vertical="top" wrapText="1"/>
    </xf>
    <xf numFmtId="0" fontId="12" fillId="3" borderId="72" xfId="0" applyFont="1" applyFill="1" applyBorder="1" applyAlignment="1">
      <alignment horizontal="center" vertical="top" wrapText="1"/>
    </xf>
    <xf numFmtId="0" fontId="12" fillId="3" borderId="82" xfId="0" applyFont="1" applyFill="1" applyBorder="1" applyAlignment="1">
      <alignment horizontal="center" vertical="top" wrapText="1"/>
    </xf>
    <xf numFmtId="0" fontId="4" fillId="0" borderId="76" xfId="0" applyFont="1" applyBorder="1" applyAlignment="1">
      <alignment horizontal="center" wrapText="1"/>
    </xf>
    <xf numFmtId="0" fontId="20" fillId="2" borderId="64" xfId="0" applyFont="1" applyFill="1" applyBorder="1" applyAlignment="1">
      <alignment horizontal="center" wrapText="1"/>
    </xf>
    <xf numFmtId="0" fontId="20" fillId="2" borderId="77" xfId="0" applyFont="1" applyFill="1" applyBorder="1" applyAlignment="1">
      <alignment horizontal="center" wrapText="1"/>
    </xf>
    <xf numFmtId="0" fontId="3" fillId="2" borderId="83" xfId="0" applyFont="1" applyFill="1" applyBorder="1" applyAlignment="1">
      <alignment vertical="top" wrapText="1"/>
    </xf>
    <xf numFmtId="0" fontId="3" fillId="2" borderId="71" xfId="0" applyFont="1" applyFill="1" applyBorder="1" applyAlignment="1">
      <alignment vertical="top" wrapText="1"/>
    </xf>
    <xf numFmtId="0" fontId="3" fillId="2" borderId="84" xfId="0" applyFont="1" applyFill="1" applyBorder="1" applyAlignment="1">
      <alignment vertical="top" wrapText="1"/>
    </xf>
    <xf numFmtId="0" fontId="2" fillId="2" borderId="76" xfId="0" applyFont="1" applyFill="1" applyBorder="1" applyAlignment="1">
      <alignment vertical="top" wrapText="1"/>
    </xf>
    <xf numFmtId="0" fontId="2" fillId="2" borderId="64" xfId="0" applyFont="1" applyFill="1" applyBorder="1" applyAlignment="1">
      <alignment vertical="top" wrapText="1"/>
    </xf>
    <xf numFmtId="0" fontId="2" fillId="2" borderId="77" xfId="0" applyFont="1" applyFill="1" applyBorder="1" applyAlignment="1">
      <alignment vertical="top" wrapText="1"/>
    </xf>
    <xf numFmtId="0" fontId="19" fillId="2" borderId="76" xfId="0" applyFont="1" applyFill="1" applyBorder="1" applyAlignment="1">
      <alignment vertical="top" wrapText="1"/>
    </xf>
    <xf numFmtId="0" fontId="19" fillId="2" borderId="64" xfId="0" applyFont="1" applyFill="1" applyBorder="1" applyAlignment="1">
      <alignment vertical="top" wrapText="1"/>
    </xf>
    <xf numFmtId="0" fontId="19" fillId="2" borderId="77" xfId="0" applyFont="1" applyFill="1" applyBorder="1" applyAlignment="1">
      <alignment vertical="top" wrapText="1"/>
    </xf>
    <xf numFmtId="0" fontId="11" fillId="0" borderId="0" xfId="0" applyFont="1" applyBorder="1" applyAlignment="1">
      <alignment wrapText="1"/>
    </xf>
    <xf numFmtId="0" fontId="2" fillId="2" borderId="65" xfId="0" applyFont="1" applyFill="1" applyBorder="1" applyAlignment="1">
      <alignment wrapText="1"/>
    </xf>
    <xf numFmtId="0" fontId="2" fillId="2" borderId="41" xfId="0" applyFont="1" applyFill="1" applyBorder="1" applyAlignment="1">
      <alignment wrapText="1"/>
    </xf>
    <xf numFmtId="0" fontId="3" fillId="3" borderId="11" xfId="0" applyFont="1" applyFill="1" applyBorder="1" applyAlignment="1">
      <alignment vertical="top" wrapText="1"/>
    </xf>
    <xf numFmtId="0" fontId="3" fillId="3" borderId="38" xfId="0" applyFont="1" applyFill="1" applyBorder="1" applyAlignment="1">
      <alignment vertical="top" wrapText="1"/>
    </xf>
    <xf numFmtId="0" fontId="12" fillId="3" borderId="11" xfId="0" applyFont="1" applyFill="1" applyBorder="1" applyAlignment="1">
      <alignment horizontal="center" vertical="top" wrapText="1"/>
    </xf>
    <xf numFmtId="0" fontId="12" fillId="3" borderId="38" xfId="0" applyFont="1" applyFill="1" applyBorder="1" applyAlignment="1">
      <alignment horizontal="center" vertical="top" wrapText="1"/>
    </xf>
    <xf numFmtId="0" fontId="5" fillId="0" borderId="80" xfId="0" applyFont="1" applyBorder="1" applyAlignment="1">
      <alignment wrapText="1"/>
    </xf>
    <xf numFmtId="0" fontId="5" fillId="0" borderId="72" xfId="0" applyFont="1" applyBorder="1" applyAlignment="1">
      <alignment wrapText="1"/>
    </xf>
    <xf numFmtId="0" fontId="0" fillId="0" borderId="72" xfId="0" applyBorder="1" applyAlignment="1">
      <alignment horizontal="center"/>
    </xf>
    <xf numFmtId="0" fontId="0" fillId="0" borderId="82" xfId="0" applyBorder="1" applyAlignment="1">
      <alignment horizontal="center"/>
    </xf>
    <xf numFmtId="0" fontId="2" fillId="2" borderId="39" xfId="0" applyFont="1" applyFill="1" applyBorder="1" applyAlignment="1">
      <alignment vertical="top" wrapText="1"/>
    </xf>
    <xf numFmtId="0" fontId="2" fillId="2" borderId="40" xfId="0" applyFont="1" applyFill="1" applyBorder="1" applyAlignment="1">
      <alignment vertical="top" wrapText="1"/>
    </xf>
    <xf numFmtId="0" fontId="4" fillId="0" borderId="79" xfId="0" applyFont="1" applyBorder="1" applyAlignment="1">
      <alignment horizontal="center" wrapText="1"/>
    </xf>
    <xf numFmtId="0" fontId="4" fillId="0" borderId="81" xfId="0" applyFont="1" applyBorder="1" applyAlignment="1">
      <alignment horizontal="center" wrapText="1"/>
    </xf>
    <xf numFmtId="0" fontId="4" fillId="2" borderId="76" xfId="0" applyFont="1" applyFill="1" applyBorder="1" applyAlignment="1">
      <alignment wrapText="1"/>
    </xf>
    <xf numFmtId="0" fontId="4" fillId="2" borderId="64" xfId="0" applyFont="1" applyFill="1" applyBorder="1" applyAlignment="1">
      <alignment wrapText="1"/>
    </xf>
    <xf numFmtId="0" fontId="4" fillId="2" borderId="77" xfId="0" applyFont="1" applyFill="1" applyBorder="1" applyAlignment="1">
      <alignment wrapText="1"/>
    </xf>
    <xf numFmtId="0" fontId="21" fillId="0" borderId="64" xfId="0" applyFont="1" applyBorder="1" applyAlignment="1">
      <alignment horizontal="center" wrapText="1"/>
    </xf>
    <xf numFmtId="0" fontId="21" fillId="0" borderId="77" xfId="0" applyFont="1" applyBorder="1" applyAlignment="1">
      <alignment horizontal="center" wrapText="1"/>
    </xf>
    <xf numFmtId="0" fontId="4" fillId="2" borderId="28" xfId="0" applyFont="1" applyFill="1" applyBorder="1" applyAlignment="1">
      <alignment wrapText="1"/>
    </xf>
    <xf numFmtId="0" fontId="4" fillId="2" borderId="29" xfId="0" applyFont="1" applyFill="1" applyBorder="1" applyAlignment="1">
      <alignment wrapText="1"/>
    </xf>
    <xf numFmtId="0" fontId="4" fillId="2" borderId="30" xfId="0" applyFont="1" applyFill="1" applyBorder="1" applyAlignment="1">
      <alignment wrapText="1"/>
    </xf>
    <xf numFmtId="0" fontId="11" fillId="0" borderId="11" xfId="0" applyFont="1" applyBorder="1" applyAlignment="1">
      <alignment vertical="top" wrapText="1"/>
    </xf>
    <xf numFmtId="0" fontId="0" fillId="0" borderId="69" xfId="0" applyBorder="1" applyAlignment="1">
      <alignment vertical="top"/>
    </xf>
    <xf numFmtId="0" fontId="0" fillId="0" borderId="10" xfId="0" applyBorder="1" applyAlignment="1">
      <alignment vertical="top"/>
    </xf>
    <xf numFmtId="0" fontId="12" fillId="0" borderId="11" xfId="0" applyFont="1" applyBorder="1" applyAlignment="1">
      <alignment wrapText="1"/>
    </xf>
    <xf numFmtId="0" fontId="24" fillId="0" borderId="10" xfId="0" applyFont="1" applyBorder="1"/>
    <xf numFmtId="0" fontId="11" fillId="0" borderId="11" xfId="0" applyFont="1" applyBorder="1" applyAlignment="1">
      <alignment horizontal="center" wrapText="1"/>
    </xf>
    <xf numFmtId="0" fontId="0" fillId="0" borderId="10" xfId="0" applyBorder="1"/>
    <xf numFmtId="0" fontId="16" fillId="0" borderId="11" xfId="0" applyFont="1" applyBorder="1" applyAlignment="1">
      <alignment horizontal="center" wrapText="1"/>
    </xf>
    <xf numFmtId="0" fontId="16" fillId="0" borderId="10" xfId="0" applyFont="1" applyBorder="1" applyAlignment="1">
      <alignment horizontal="center" wrapText="1"/>
    </xf>
    <xf numFmtId="0" fontId="12" fillId="4" borderId="11" xfId="0" applyFont="1" applyFill="1" applyBorder="1" applyAlignment="1">
      <alignment vertical="top" wrapText="1"/>
    </xf>
    <xf numFmtId="0" fontId="16" fillId="0" borderId="11" xfId="0" applyFont="1" applyBorder="1" applyAlignment="1">
      <alignment wrapText="1"/>
    </xf>
    <xf numFmtId="0" fontId="23" fillId="0" borderId="10" xfId="0" applyFont="1" applyBorder="1"/>
    <xf numFmtId="0" fontId="11" fillId="0" borderId="48" xfId="0" applyFont="1" applyBorder="1" applyAlignment="1">
      <alignment horizontal="center" wrapText="1"/>
    </xf>
    <xf numFmtId="0" fontId="11" fillId="0" borderId="39" xfId="0" applyFont="1" applyBorder="1" applyAlignment="1">
      <alignment horizontal="center" wrapText="1"/>
    </xf>
    <xf numFmtId="0" fontId="4" fillId="2" borderId="45" xfId="0" applyFont="1" applyFill="1" applyBorder="1" applyAlignment="1">
      <alignment wrapText="1"/>
    </xf>
    <xf numFmtId="0" fontId="4" fillId="2" borderId="46" xfId="0" applyFont="1" applyFill="1" applyBorder="1" applyAlignment="1">
      <alignment wrapText="1"/>
    </xf>
    <xf numFmtId="0" fontId="4" fillId="2" borderId="47" xfId="0" applyFont="1" applyFill="1" applyBorder="1" applyAlignment="1">
      <alignment wrapText="1"/>
    </xf>
    <xf numFmtId="0" fontId="12" fillId="4" borderId="10" xfId="0" applyFont="1" applyFill="1" applyBorder="1" applyAlignment="1">
      <alignment vertical="top" wrapText="1"/>
    </xf>
    <xf numFmtId="0" fontId="11" fillId="0" borderId="10" xfId="0" applyFont="1" applyBorder="1" applyAlignment="1">
      <alignment vertical="top" wrapText="1"/>
    </xf>
    <xf numFmtId="0" fontId="11" fillId="0" borderId="11" xfId="0" applyFont="1" applyBorder="1" applyAlignment="1">
      <alignment wrapText="1"/>
    </xf>
    <xf numFmtId="0" fontId="11" fillId="0" borderId="10" xfId="0" applyFont="1" applyBorder="1" applyAlignment="1">
      <alignment wrapText="1"/>
    </xf>
    <xf numFmtId="0" fontId="16" fillId="0" borderId="10" xfId="0" applyFont="1" applyBorder="1" applyAlignment="1">
      <alignment wrapText="1"/>
    </xf>
    <xf numFmtId="0" fontId="11" fillId="0" borderId="10" xfId="0" applyFont="1" applyBorder="1" applyAlignment="1">
      <alignment horizontal="center" wrapText="1"/>
    </xf>
    <xf numFmtId="0" fontId="11" fillId="0" borderId="69" xfId="0" applyFont="1" applyBorder="1" applyAlignment="1">
      <alignment vertical="top" wrapText="1"/>
    </xf>
    <xf numFmtId="0" fontId="7" fillId="0" borderId="11" xfId="0" applyFont="1" applyBorder="1" applyAlignment="1">
      <alignment wrapText="1"/>
    </xf>
    <xf numFmtId="0" fontId="7" fillId="0" borderId="38" xfId="0" applyFont="1" applyBorder="1" applyAlignment="1">
      <alignment wrapText="1"/>
    </xf>
    <xf numFmtId="0" fontId="7" fillId="0" borderId="11" xfId="0" applyFont="1" applyBorder="1" applyAlignment="1">
      <alignment horizontal="center" wrapText="1"/>
    </xf>
    <xf numFmtId="0" fontId="7" fillId="0" borderId="38" xfId="0" applyFont="1" applyBorder="1" applyAlignment="1">
      <alignment horizontal="center" wrapText="1"/>
    </xf>
    <xf numFmtId="0" fontId="3" fillId="2" borderId="48" xfId="0" applyFont="1" applyFill="1" applyBorder="1" applyAlignment="1">
      <alignment wrapText="1"/>
    </xf>
    <xf numFmtId="0" fontId="3" fillId="2" borderId="18" xfId="0" applyFont="1" applyFill="1" applyBorder="1" applyAlignment="1">
      <alignment wrapText="1"/>
    </xf>
    <xf numFmtId="0" fontId="3" fillId="2" borderId="49" xfId="0" applyFont="1" applyFill="1" applyBorder="1" applyAlignment="1">
      <alignment wrapText="1"/>
    </xf>
    <xf numFmtId="0" fontId="7" fillId="0" borderId="10" xfId="0" applyFont="1" applyBorder="1" applyAlignment="1">
      <alignment horizontal="center" wrapText="1"/>
    </xf>
    <xf numFmtId="0" fontId="11" fillId="0" borderId="69" xfId="0" applyFont="1" applyBorder="1" applyAlignment="1">
      <alignment wrapText="1"/>
    </xf>
    <xf numFmtId="0" fontId="21" fillId="2" borderId="28" xfId="0" applyFont="1" applyFill="1" applyBorder="1" applyAlignment="1">
      <alignment vertical="top" wrapText="1"/>
    </xf>
    <xf numFmtId="0" fontId="21" fillId="2" borderId="29" xfId="0" applyFont="1" applyFill="1" applyBorder="1" applyAlignment="1">
      <alignment vertical="top" wrapText="1"/>
    </xf>
    <xf numFmtId="0" fontId="21" fillId="2" borderId="30" xfId="0" applyFont="1" applyFill="1" applyBorder="1" applyAlignment="1">
      <alignment vertical="top" wrapText="1"/>
    </xf>
    <xf numFmtId="0" fontId="21" fillId="2" borderId="28" xfId="0" applyFont="1" applyFill="1" applyBorder="1" applyAlignment="1">
      <alignment wrapText="1"/>
    </xf>
    <xf numFmtId="0" fontId="21" fillId="2" borderId="29" xfId="0" applyFont="1" applyFill="1" applyBorder="1" applyAlignment="1">
      <alignment wrapText="1"/>
    </xf>
    <xf numFmtId="0" fontId="21" fillId="2" borderId="30" xfId="0" applyFont="1" applyFill="1" applyBorder="1" applyAlignment="1">
      <alignment wrapText="1"/>
    </xf>
    <xf numFmtId="0" fontId="5" fillId="0" borderId="11" xfId="0" applyFont="1" applyBorder="1" applyAlignment="1">
      <alignment wrapText="1"/>
    </xf>
    <xf numFmtId="0" fontId="5" fillId="0" borderId="10" xfId="0" applyFont="1" applyBorder="1" applyAlignment="1">
      <alignment wrapText="1"/>
    </xf>
    <xf numFmtId="0" fontId="21" fillId="2" borderId="76" xfId="0" applyFont="1" applyFill="1" applyBorder="1" applyAlignment="1">
      <alignment wrapText="1"/>
    </xf>
    <xf numFmtId="0" fontId="21" fillId="2" borderId="64" xfId="0" applyFont="1" applyFill="1" applyBorder="1" applyAlignment="1">
      <alignment wrapText="1"/>
    </xf>
    <xf numFmtId="0" fontId="21" fillId="2" borderId="77" xfId="0" applyFont="1" applyFill="1" applyBorder="1" applyAlignment="1">
      <alignment wrapText="1"/>
    </xf>
    <xf numFmtId="0" fontId="11" fillId="0" borderId="76" xfId="0" applyFont="1" applyBorder="1" applyAlignment="1">
      <alignment wrapText="1"/>
    </xf>
    <xf numFmtId="0" fontId="12" fillId="0" borderId="11" xfId="0" applyFont="1" applyBorder="1" applyAlignment="1">
      <alignment horizontal="center" wrapText="1"/>
    </xf>
    <xf numFmtId="0" fontId="12" fillId="0" borderId="10" xfId="0" applyFont="1" applyBorder="1" applyAlignment="1">
      <alignment horizontal="center" wrapText="1"/>
    </xf>
    <xf numFmtId="0" fontId="16" fillId="0" borderId="64" xfId="0" applyFont="1" applyBorder="1" applyAlignment="1">
      <alignment wrapText="1"/>
    </xf>
    <xf numFmtId="0" fontId="11" fillId="0" borderId="64" xfId="0" applyFont="1" applyBorder="1" applyAlignment="1">
      <alignment horizontal="center" wrapText="1"/>
    </xf>
    <xf numFmtId="0" fontId="12" fillId="4" borderId="64" xfId="0" applyFont="1" applyFill="1" applyBorder="1" applyAlignment="1">
      <alignment vertical="top" wrapText="1"/>
    </xf>
    <xf numFmtId="0" fontId="11" fillId="0" borderId="76" xfId="0" applyFont="1" applyBorder="1" applyAlignment="1">
      <alignment horizontal="center" wrapText="1"/>
    </xf>
    <xf numFmtId="0" fontId="16" fillId="0" borderId="64" xfId="0" applyFont="1" applyBorder="1" applyAlignment="1">
      <alignment horizontal="center" wrapText="1"/>
    </xf>
    <xf numFmtId="0" fontId="11" fillId="0" borderId="80" xfId="0" applyFont="1" applyBorder="1" applyAlignment="1">
      <alignment wrapText="1"/>
    </xf>
    <xf numFmtId="0" fontId="12" fillId="0" borderId="38" xfId="0" applyFont="1" applyBorder="1" applyAlignment="1">
      <alignment horizontal="center" wrapText="1"/>
    </xf>
    <xf numFmtId="0" fontId="16" fillId="0" borderId="72" xfId="0" applyFont="1" applyBorder="1" applyAlignment="1">
      <alignment wrapText="1"/>
    </xf>
    <xf numFmtId="0" fontId="11" fillId="0" borderId="72" xfId="0" applyFont="1" applyBorder="1" applyAlignment="1">
      <alignment horizontal="center" wrapText="1"/>
    </xf>
    <xf numFmtId="0" fontId="12" fillId="4" borderId="72" xfId="0" applyFont="1" applyFill="1" applyBorder="1" applyAlignment="1">
      <alignment vertical="top" wrapText="1"/>
    </xf>
    <xf numFmtId="0" fontId="25" fillId="2" borderId="65" xfId="0" applyFont="1" applyFill="1" applyBorder="1" applyAlignment="1">
      <alignment wrapText="1"/>
    </xf>
    <xf numFmtId="0" fontId="25" fillId="2" borderId="0" xfId="0" applyFont="1" applyFill="1" applyBorder="1" applyAlignment="1">
      <alignment wrapText="1"/>
    </xf>
    <xf numFmtId="0" fontId="25" fillId="2" borderId="41" xfId="0" applyFont="1" applyFill="1" applyBorder="1" applyAlignment="1">
      <alignment wrapText="1"/>
    </xf>
    <xf numFmtId="0" fontId="11" fillId="0" borderId="50" xfId="0" applyFont="1" applyBorder="1" applyAlignment="1">
      <alignment horizontal="center" wrapText="1"/>
    </xf>
    <xf numFmtId="0" fontId="4" fillId="0" borderId="50" xfId="0" applyFont="1" applyBorder="1" applyAlignment="1">
      <alignment wrapText="1"/>
    </xf>
    <xf numFmtId="0" fontId="4" fillId="0" borderId="38" xfId="0" applyFont="1" applyBorder="1" applyAlignment="1">
      <alignment wrapText="1"/>
    </xf>
    <xf numFmtId="0" fontId="4" fillId="0" borderId="50" xfId="0" applyFont="1" applyBorder="1" applyAlignment="1">
      <alignment horizontal="left" wrapText="1"/>
    </xf>
    <xf numFmtId="0" fontId="4" fillId="0" borderId="38" xfId="0" applyFont="1" applyBorder="1" applyAlignment="1">
      <alignment horizontal="left" wrapText="1"/>
    </xf>
    <xf numFmtId="0" fontId="11" fillId="0" borderId="50" xfId="0" applyFont="1" applyBorder="1" applyAlignment="1">
      <alignment wrapText="1"/>
    </xf>
    <xf numFmtId="0" fontId="12" fillId="4" borderId="50" xfId="0" applyFont="1" applyFill="1" applyBorder="1" applyAlignment="1">
      <alignment vertical="top" wrapText="1"/>
    </xf>
    <xf numFmtId="0" fontId="11" fillId="0" borderId="69" xfId="0" applyFont="1" applyBorder="1" applyAlignment="1">
      <alignment horizontal="center" wrapText="1"/>
    </xf>
    <xf numFmtId="0" fontId="11" fillId="0" borderId="38" xfId="0" applyFont="1" applyBorder="1" applyAlignment="1">
      <alignment horizontal="center" wrapText="1"/>
    </xf>
    <xf numFmtId="0" fontId="11" fillId="0" borderId="38" xfId="0" applyFont="1" applyBorder="1" applyAlignment="1">
      <alignment wrapText="1"/>
    </xf>
    <xf numFmtId="0" fontId="12" fillId="4" borderId="69" xfId="0" applyFont="1" applyFill="1" applyBorder="1" applyAlignment="1">
      <alignment vertical="top" wrapText="1"/>
    </xf>
    <xf numFmtId="0" fontId="12" fillId="4" borderId="38" xfId="0" applyFont="1" applyFill="1" applyBorder="1" applyAlignment="1">
      <alignment vertical="top" wrapText="1"/>
    </xf>
    <xf numFmtId="0" fontId="4" fillId="2" borderId="3" xfId="0" applyFont="1" applyFill="1" applyBorder="1" applyAlignment="1">
      <alignment wrapText="1"/>
    </xf>
    <xf numFmtId="0" fontId="4" fillId="2" borderId="4" xfId="0" applyFont="1" applyFill="1" applyBorder="1" applyAlignment="1">
      <alignment wrapText="1"/>
    </xf>
    <xf numFmtId="0" fontId="3" fillId="2" borderId="73" xfId="0" applyFont="1" applyFill="1" applyBorder="1" applyAlignment="1">
      <alignment horizontal="left" vertical="top" wrapText="1" indent="4"/>
    </xf>
    <xf numFmtId="0" fontId="3" fillId="2" borderId="85" xfId="0" applyFont="1" applyFill="1" applyBorder="1" applyAlignment="1">
      <alignment horizontal="left" vertical="top" wrapText="1" indent="4"/>
    </xf>
    <xf numFmtId="0" fontId="2" fillId="2" borderId="74" xfId="0" applyFont="1" applyFill="1" applyBorder="1" applyAlignment="1">
      <alignment horizontal="left" vertical="top" wrapText="1" indent="4"/>
    </xf>
    <xf numFmtId="0" fontId="2" fillId="2" borderId="86" xfId="0" applyFont="1" applyFill="1" applyBorder="1" applyAlignment="1">
      <alignment horizontal="left" vertical="top" wrapText="1" indent="4"/>
    </xf>
    <xf numFmtId="0" fontId="7" fillId="2" borderId="81" xfId="0" applyFont="1" applyFill="1" applyBorder="1" applyAlignment="1">
      <alignment horizontal="left" vertical="top" wrapText="1" indent="4"/>
    </xf>
    <xf numFmtId="0" fontId="7" fillId="2" borderId="87" xfId="0" applyFont="1" applyFill="1" applyBorder="1" applyAlignment="1">
      <alignment horizontal="left" vertical="top" wrapText="1" indent="4"/>
    </xf>
    <xf numFmtId="0" fontId="4" fillId="0" borderId="12" xfId="0" applyFont="1" applyBorder="1" applyAlignment="1">
      <alignment horizontal="center" wrapText="1"/>
    </xf>
    <xf numFmtId="0" fontId="4" fillId="0" borderId="13" xfId="0" applyFont="1" applyBorder="1" applyAlignment="1">
      <alignment horizontal="center" wrapText="1"/>
    </xf>
    <xf numFmtId="0" fontId="4" fillId="0" borderId="17" xfId="0" applyFont="1" applyBorder="1" applyAlignment="1">
      <alignment horizontal="center" wrapText="1"/>
    </xf>
    <xf numFmtId="0" fontId="4" fillId="0" borderId="19" xfId="0" applyFont="1" applyBorder="1" applyAlignment="1">
      <alignment horizontal="center" wrapText="1"/>
    </xf>
  </cellXfs>
  <cellStyles count="5">
    <cellStyle name="Hyperlink" xfId="1" builtinId="8"/>
    <cellStyle name="Normal" xfId="0" builtinId="0"/>
    <cellStyle name="Normal 2" xfId="3"/>
    <cellStyle name="Normal 3" xfId="4"/>
    <cellStyle name="Percent" xfId="2" builtinId="5"/>
  </cellStyles>
  <dxfs count="0"/>
  <tableStyles count="0" defaultTableStyle="TableStyleMedium9" defaultPivotStyle="PivotStyleLight16"/>
  <colors>
    <mruColors>
      <color rgb="FFC0C0C0"/>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MIS%20Data%20Preparation%20Too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R-%20Tiens%20Updat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ddie/HMIS%20Data%20Preparation%20Tool.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Admin"/>
      <sheetName val="AgencyProgram"/>
      <sheetName val="BedInventory"/>
      <sheetName val="Client"/>
      <sheetName val="ClientHistorical"/>
      <sheetName val="ProgramParticipation"/>
      <sheetName val="SvcEvent2"/>
      <sheetName val="ServiceEvent"/>
      <sheetName val="IncomeBenefits"/>
      <sheetName val="ZipCodes"/>
      <sheetName val="HHLookup"/>
    </sheetNames>
    <sheetDataSet>
      <sheetData sheetId="0"/>
      <sheetData sheetId="1"/>
      <sheetData sheetId="2"/>
      <sheetData sheetId="3">
        <row r="1">
          <cell r="C1" t="str">
            <v>LegalFirstName</v>
          </cell>
          <cell r="E1" t="str">
            <v>LegalLastName</v>
          </cell>
          <cell r="H1" t="str">
            <v>SocialSecNumberQualityCode</v>
          </cell>
          <cell r="I1" t="str">
            <v>DateOfBirth</v>
          </cell>
          <cell r="J1" t="str">
            <v>DateOfBirthQualityCode</v>
          </cell>
          <cell r="K1" t="str">
            <v>Primary Race</v>
          </cell>
          <cell r="L1" t="str">
            <v>Secondary Race</v>
          </cell>
          <cell r="M1" t="str">
            <v>Ethnicity</v>
          </cell>
          <cell r="N1" t="str">
            <v>Gender</v>
          </cell>
          <cell r="X1" t="str">
            <v>Duplicate?</v>
          </cell>
          <cell r="BG1" t="str">
            <v>Veteran?</v>
          </cell>
          <cell r="BK1" t="str">
            <v>Gender</v>
          </cell>
          <cell r="BL1" t="str">
            <v>Total LOS</v>
          </cell>
          <cell r="BN1" t="str">
            <v>APR Age</v>
          </cell>
          <cell r="BO1" t="str">
            <v>Adult, Child or Unknown</v>
          </cell>
          <cell r="BQ1" t="str">
            <v>Adult or UY?</v>
          </cell>
          <cell r="BR1" t="str">
            <v>Household Type</v>
          </cell>
        </row>
        <row r="2">
          <cell r="C2" t="str">
            <v>Bamboo</v>
          </cell>
          <cell r="E2" t="str">
            <v>Basketweaver</v>
          </cell>
          <cell r="H2">
            <v>1</v>
          </cell>
          <cell r="I2">
            <v>39753</v>
          </cell>
          <cell r="J2">
            <v>1</v>
          </cell>
          <cell r="K2">
            <v>3</v>
          </cell>
          <cell r="M2">
            <v>0</v>
          </cell>
          <cell r="N2">
            <v>0</v>
          </cell>
          <cell r="X2" t="b">
            <v>0</v>
          </cell>
          <cell r="BG2">
            <v>0</v>
          </cell>
          <cell r="BK2">
            <v>0</v>
          </cell>
          <cell r="BL2">
            <v>20</v>
          </cell>
          <cell r="BN2">
            <v>0.49007529089664614</v>
          </cell>
          <cell r="BO2" t="str">
            <v>Child</v>
          </cell>
          <cell r="BQ2" t="str">
            <v>N</v>
          </cell>
          <cell r="BR2" t="str">
            <v>HHKidsOnly</v>
          </cell>
        </row>
        <row r="3">
          <cell r="C3" t="str">
            <v>BooBoo</v>
          </cell>
          <cell r="E3" t="str">
            <v>Bear</v>
          </cell>
          <cell r="H3">
            <v>1</v>
          </cell>
          <cell r="I3">
            <v>39294</v>
          </cell>
          <cell r="J3">
            <v>1</v>
          </cell>
          <cell r="K3">
            <v>4</v>
          </cell>
          <cell r="M3">
            <v>0</v>
          </cell>
          <cell r="N3">
            <v>1</v>
          </cell>
          <cell r="X3" t="b">
            <v>0</v>
          </cell>
          <cell r="BG3">
            <v>0</v>
          </cell>
          <cell r="BK3">
            <v>1</v>
          </cell>
          <cell r="BL3">
            <v>26</v>
          </cell>
          <cell r="BN3">
            <v>1.6646132785763177</v>
          </cell>
          <cell r="BO3" t="str">
            <v>Child</v>
          </cell>
          <cell r="BQ3" t="str">
            <v>N</v>
          </cell>
          <cell r="BR3" t="str">
            <v>HHKidsOnly</v>
          </cell>
        </row>
        <row r="4">
          <cell r="C4" t="str">
            <v>Mick</v>
          </cell>
          <cell r="E4" t="str">
            <v>Chumtong</v>
          </cell>
          <cell r="H4">
            <v>1</v>
          </cell>
          <cell r="I4">
            <v>34049</v>
          </cell>
          <cell r="J4">
            <v>1</v>
          </cell>
          <cell r="K4">
            <v>2</v>
          </cell>
          <cell r="M4">
            <v>0</v>
          </cell>
          <cell r="N4">
            <v>1</v>
          </cell>
          <cell r="X4" t="b">
            <v>0</v>
          </cell>
          <cell r="BG4">
            <v>1</v>
          </cell>
          <cell r="BK4">
            <v>1</v>
          </cell>
          <cell r="BL4">
            <v>84</v>
          </cell>
          <cell r="BN4">
            <v>15.937029431895962</v>
          </cell>
          <cell r="BO4" t="str">
            <v>Child</v>
          </cell>
          <cell r="BQ4" t="str">
            <v>N</v>
          </cell>
          <cell r="BR4" t="str">
            <v>HHKidsOnly</v>
          </cell>
        </row>
        <row r="5">
          <cell r="C5" t="str">
            <v>Kiranya</v>
          </cell>
          <cell r="E5" t="str">
            <v>Chumtong</v>
          </cell>
          <cell r="H5">
            <v>1</v>
          </cell>
          <cell r="I5">
            <v>35636</v>
          </cell>
          <cell r="J5">
            <v>1</v>
          </cell>
          <cell r="K5">
            <v>2</v>
          </cell>
          <cell r="M5">
            <v>0</v>
          </cell>
          <cell r="N5">
            <v>0</v>
          </cell>
          <cell r="X5" t="b">
            <v>0</v>
          </cell>
          <cell r="BG5">
            <v>1</v>
          </cell>
          <cell r="BK5">
            <v>0</v>
          </cell>
          <cell r="BL5">
            <v>115</v>
          </cell>
          <cell r="BN5" t="e">
            <v>#N/A</v>
          </cell>
          <cell r="BO5" t="e">
            <v>#N/A</v>
          </cell>
          <cell r="BQ5" t="e">
            <v>#N/A</v>
          </cell>
          <cell r="BR5" t="e">
            <v>#N/A</v>
          </cell>
        </row>
        <row r="6">
          <cell r="C6" t="str">
            <v>Pippa</v>
          </cell>
          <cell r="E6" t="str">
            <v>Chumtong</v>
          </cell>
          <cell r="H6">
            <v>1</v>
          </cell>
          <cell r="I6">
            <v>24712</v>
          </cell>
          <cell r="J6">
            <v>1</v>
          </cell>
          <cell r="K6">
            <v>2</v>
          </cell>
          <cell r="M6">
            <v>0</v>
          </cell>
          <cell r="N6">
            <v>0</v>
          </cell>
          <cell r="X6" t="b">
            <v>0</v>
          </cell>
          <cell r="BG6">
            <v>1</v>
          </cell>
          <cell r="BK6">
            <v>0</v>
          </cell>
          <cell r="BL6">
            <v>115</v>
          </cell>
          <cell r="BN6">
            <v>41.4154688569473</v>
          </cell>
          <cell r="BO6" t="str">
            <v>Adult</v>
          </cell>
          <cell r="BQ6" t="str">
            <v>Y</v>
          </cell>
          <cell r="BR6" t="str">
            <v>HHNoKids</v>
          </cell>
        </row>
        <row r="7">
          <cell r="C7" t="str">
            <v>Jumpy</v>
          </cell>
          <cell r="E7" t="str">
            <v>Kittyfuzz</v>
          </cell>
          <cell r="H7">
            <v>1</v>
          </cell>
          <cell r="I7">
            <v>33318</v>
          </cell>
          <cell r="J7">
            <v>1</v>
          </cell>
          <cell r="K7">
            <v>1</v>
          </cell>
          <cell r="M7">
            <v>0</v>
          </cell>
          <cell r="N7">
            <v>0</v>
          </cell>
          <cell r="X7" t="b">
            <v>0</v>
          </cell>
          <cell r="BG7">
            <v>0</v>
          </cell>
          <cell r="BK7">
            <v>0</v>
          </cell>
          <cell r="BL7">
            <v>82</v>
          </cell>
          <cell r="BN7">
            <v>18.108145106091719</v>
          </cell>
          <cell r="BO7" t="str">
            <v>Adult</v>
          </cell>
          <cell r="BQ7" t="str">
            <v>Y</v>
          </cell>
          <cell r="BR7" t="str">
            <v>HHNoKids</v>
          </cell>
        </row>
        <row r="8">
          <cell r="C8" t="str">
            <v>Miz</v>
          </cell>
          <cell r="E8" t="str">
            <v>Mystery</v>
          </cell>
          <cell r="H8">
            <v>1</v>
          </cell>
          <cell r="I8">
            <v>30339</v>
          </cell>
          <cell r="J8">
            <v>1</v>
          </cell>
          <cell r="K8">
            <v>3</v>
          </cell>
          <cell r="M8">
            <v>0</v>
          </cell>
          <cell r="N8">
            <v>0</v>
          </cell>
          <cell r="X8" t="b">
            <v>0</v>
          </cell>
          <cell r="BG8">
            <v>0</v>
          </cell>
          <cell r="BK8">
            <v>0</v>
          </cell>
          <cell r="BL8">
            <v>64</v>
          </cell>
          <cell r="BN8">
            <v>26.729637234770706</v>
          </cell>
          <cell r="BO8" t="str">
            <v>Adult</v>
          </cell>
          <cell r="BQ8" t="str">
            <v>Y</v>
          </cell>
          <cell r="BR8" t="str">
            <v>HHNoKids</v>
          </cell>
        </row>
        <row r="9">
          <cell r="C9" t="str">
            <v>Mister</v>
          </cell>
          <cell r="E9" t="str">
            <v>Mystery</v>
          </cell>
          <cell r="H9">
            <v>1</v>
          </cell>
          <cell r="I9">
            <v>1</v>
          </cell>
          <cell r="J9">
            <v>8</v>
          </cell>
          <cell r="K9">
            <v>3</v>
          </cell>
          <cell r="M9">
            <v>0</v>
          </cell>
          <cell r="N9">
            <v>1</v>
          </cell>
          <cell r="X9" t="b">
            <v>0</v>
          </cell>
          <cell r="BG9">
            <v>0</v>
          </cell>
          <cell r="BK9">
            <v>1</v>
          </cell>
          <cell r="BL9">
            <v>64</v>
          </cell>
          <cell r="BN9">
            <v>109.7905544147844</v>
          </cell>
          <cell r="BO9" t="str">
            <v>Adult</v>
          </cell>
          <cell r="BQ9" t="str">
            <v>Y</v>
          </cell>
          <cell r="BR9" t="str">
            <v>HHNoKids</v>
          </cell>
        </row>
        <row r="10">
          <cell r="C10" t="str">
            <v>Miss</v>
          </cell>
          <cell r="E10" t="str">
            <v>Mystery</v>
          </cell>
          <cell r="H10">
            <v>1</v>
          </cell>
          <cell r="I10">
            <v>38922</v>
          </cell>
          <cell r="J10">
            <v>1</v>
          </cell>
          <cell r="K10">
            <v>3</v>
          </cell>
          <cell r="M10">
            <v>0</v>
          </cell>
          <cell r="N10">
            <v>0</v>
          </cell>
          <cell r="X10" t="b">
            <v>0</v>
          </cell>
          <cell r="BG10">
            <v>0</v>
          </cell>
          <cell r="BK10">
            <v>0</v>
          </cell>
          <cell r="BL10">
            <v>64</v>
          </cell>
          <cell r="BN10">
            <v>3.2306639288158796</v>
          </cell>
          <cell r="BO10" t="str">
            <v>Child</v>
          </cell>
          <cell r="BQ10" t="str">
            <v>N</v>
          </cell>
          <cell r="BR10" t="str">
            <v>HHKidsOnly</v>
          </cell>
        </row>
        <row r="11">
          <cell r="C11" t="str">
            <v>Hermione</v>
          </cell>
          <cell r="E11" t="str">
            <v>Pace</v>
          </cell>
          <cell r="H11">
            <v>1</v>
          </cell>
          <cell r="I11">
            <v>29104</v>
          </cell>
          <cell r="J11">
            <v>1</v>
          </cell>
          <cell r="K11">
            <v>5</v>
          </cell>
          <cell r="M11">
            <v>1</v>
          </cell>
          <cell r="N11">
            <v>1</v>
          </cell>
          <cell r="X11" t="b">
            <v>0</v>
          </cell>
          <cell r="BG11">
            <v>0</v>
          </cell>
          <cell r="BK11">
            <v>1</v>
          </cell>
          <cell r="BL11">
            <v>56</v>
          </cell>
          <cell r="BN11">
            <v>29.563312799452429</v>
          </cell>
          <cell r="BO11" t="str">
            <v>Adult</v>
          </cell>
          <cell r="BQ11" t="str">
            <v>Y</v>
          </cell>
          <cell r="BR11" t="str">
            <v>HHNoKids</v>
          </cell>
        </row>
        <row r="12">
          <cell r="C12" t="str">
            <v>Indigo</v>
          </cell>
          <cell r="E12" t="str">
            <v>Pacheco</v>
          </cell>
          <cell r="H12">
            <v>1</v>
          </cell>
          <cell r="I12">
            <v>37589</v>
          </cell>
          <cell r="J12">
            <v>1</v>
          </cell>
          <cell r="K12">
            <v>4</v>
          </cell>
          <cell r="M12">
            <v>0</v>
          </cell>
          <cell r="N12">
            <v>0</v>
          </cell>
          <cell r="X12" t="b">
            <v>0</v>
          </cell>
          <cell r="BG12">
            <v>0</v>
          </cell>
          <cell r="BK12">
            <v>0</v>
          </cell>
          <cell r="BL12">
            <v>26</v>
          </cell>
          <cell r="BN12">
            <v>6.3326488706365502</v>
          </cell>
          <cell r="BO12" t="str">
            <v>Child</v>
          </cell>
          <cell r="BQ12" t="str">
            <v>N</v>
          </cell>
          <cell r="BR12" t="str">
            <v>HHKidsOnly</v>
          </cell>
        </row>
        <row r="13">
          <cell r="C13" t="str">
            <v>Pauletta</v>
          </cell>
          <cell r="E13" t="str">
            <v>Paddleford</v>
          </cell>
          <cell r="H13">
            <v>8</v>
          </cell>
          <cell r="I13">
            <v>32464</v>
          </cell>
          <cell r="J13">
            <v>1</v>
          </cell>
          <cell r="K13">
            <v>5</v>
          </cell>
          <cell r="M13">
            <v>0</v>
          </cell>
          <cell r="N13">
            <v>1</v>
          </cell>
          <cell r="X13" t="b">
            <v>0</v>
          </cell>
          <cell r="BG13">
            <v>0</v>
          </cell>
          <cell r="BK13">
            <v>1</v>
          </cell>
          <cell r="BL13">
            <v>41</v>
          </cell>
          <cell r="BN13">
            <v>20.851471594798085</v>
          </cell>
          <cell r="BO13" t="str">
            <v>Adult</v>
          </cell>
          <cell r="BQ13" t="str">
            <v>Y</v>
          </cell>
          <cell r="BR13" t="str">
            <v>HHNoKids</v>
          </cell>
        </row>
        <row r="14">
          <cell r="C14" t="str">
            <v>Peony</v>
          </cell>
          <cell r="E14" t="str">
            <v>Pageant</v>
          </cell>
          <cell r="H14">
            <v>1</v>
          </cell>
          <cell r="I14">
            <v>20006</v>
          </cell>
          <cell r="J14">
            <v>1</v>
          </cell>
          <cell r="K14">
            <v>3</v>
          </cell>
          <cell r="M14">
            <v>0</v>
          </cell>
          <cell r="N14">
            <v>1</v>
          </cell>
          <cell r="X14" t="b">
            <v>0</v>
          </cell>
          <cell r="BG14">
            <v>0</v>
          </cell>
          <cell r="BK14">
            <v>1</v>
          </cell>
          <cell r="BL14">
            <v>89</v>
          </cell>
          <cell r="BN14">
            <v>54.570841889117041</v>
          </cell>
          <cell r="BO14" t="str">
            <v>Adult</v>
          </cell>
          <cell r="BQ14" t="str">
            <v>Y</v>
          </cell>
          <cell r="BR14" t="str">
            <v>HHNoKids</v>
          </cell>
        </row>
        <row r="15">
          <cell r="C15" t="str">
            <v>Pearlie</v>
          </cell>
          <cell r="E15" t="str">
            <v>Pagoda</v>
          </cell>
          <cell r="H15">
            <v>1</v>
          </cell>
          <cell r="I15">
            <v>22553</v>
          </cell>
          <cell r="J15">
            <v>1</v>
          </cell>
          <cell r="K15">
            <v>3</v>
          </cell>
          <cell r="M15">
            <v>0</v>
          </cell>
          <cell r="N15">
            <v>1</v>
          </cell>
          <cell r="X15" t="b">
            <v>0</v>
          </cell>
          <cell r="BG15">
            <v>0</v>
          </cell>
          <cell r="BK15">
            <v>1</v>
          </cell>
          <cell r="BL15">
            <v>186</v>
          </cell>
          <cell r="BN15">
            <v>47.635865845311429</v>
          </cell>
          <cell r="BO15" t="str">
            <v>Adult</v>
          </cell>
          <cell r="BQ15" t="str">
            <v>Y</v>
          </cell>
          <cell r="BR15" t="str">
            <v>HHNoKids</v>
          </cell>
        </row>
        <row r="16">
          <cell r="C16" t="str">
            <v>Pascha</v>
          </cell>
          <cell r="E16" t="str">
            <v>Pahls</v>
          </cell>
          <cell r="H16">
            <v>1</v>
          </cell>
          <cell r="I16">
            <v>22578</v>
          </cell>
          <cell r="J16">
            <v>1</v>
          </cell>
          <cell r="K16">
            <v>5</v>
          </cell>
          <cell r="M16">
            <v>0</v>
          </cell>
          <cell r="N16">
            <v>1</v>
          </cell>
          <cell r="X16" t="b">
            <v>0</v>
          </cell>
          <cell r="BG16">
            <v>0</v>
          </cell>
          <cell r="BK16">
            <v>1</v>
          </cell>
          <cell r="BL16">
            <v>33</v>
          </cell>
          <cell r="BN16">
            <v>47.238877481177276</v>
          </cell>
          <cell r="BO16" t="str">
            <v>Adult</v>
          </cell>
          <cell r="BQ16" t="str">
            <v>Y</v>
          </cell>
          <cell r="BR16" t="str">
            <v>HHNoKids</v>
          </cell>
        </row>
        <row r="17">
          <cell r="C17" t="str">
            <v>Passion</v>
          </cell>
          <cell r="E17" t="str">
            <v>Paisa</v>
          </cell>
          <cell r="H17">
            <v>1</v>
          </cell>
          <cell r="I17">
            <v>23602</v>
          </cell>
          <cell r="J17">
            <v>1</v>
          </cell>
          <cell r="K17">
            <v>5</v>
          </cell>
          <cell r="M17">
            <v>0</v>
          </cell>
          <cell r="N17">
            <v>0</v>
          </cell>
          <cell r="X17" t="b">
            <v>0</v>
          </cell>
          <cell r="BG17">
            <v>0</v>
          </cell>
          <cell r="BK17">
            <v>0</v>
          </cell>
          <cell r="BL17">
            <v>33</v>
          </cell>
          <cell r="BN17">
            <v>44.435318275154003</v>
          </cell>
          <cell r="BO17" t="str">
            <v>Adult</v>
          </cell>
          <cell r="BQ17" t="str">
            <v>Y</v>
          </cell>
          <cell r="BR17" t="str">
            <v>HHNoKids</v>
          </cell>
        </row>
        <row r="18">
          <cell r="C18" t="str">
            <v>Peregrina</v>
          </cell>
          <cell r="E18" t="str">
            <v>Palacios</v>
          </cell>
          <cell r="H18">
            <v>1</v>
          </cell>
          <cell r="I18">
            <v>18345</v>
          </cell>
          <cell r="J18">
            <v>1</v>
          </cell>
          <cell r="K18">
            <v>5</v>
          </cell>
          <cell r="M18">
            <v>0</v>
          </cell>
          <cell r="N18">
            <v>1</v>
          </cell>
          <cell r="X18" t="b">
            <v>0</v>
          </cell>
          <cell r="BG18">
            <v>0</v>
          </cell>
          <cell r="BK18">
            <v>1</v>
          </cell>
          <cell r="BL18">
            <v>29</v>
          </cell>
          <cell r="BN18">
            <v>59.698836413415471</v>
          </cell>
          <cell r="BO18" t="str">
            <v>Adult</v>
          </cell>
          <cell r="BQ18" t="str">
            <v>Y</v>
          </cell>
          <cell r="BR18" t="str">
            <v>HHNoKids</v>
          </cell>
        </row>
        <row r="19">
          <cell r="C19" t="str">
            <v>Patia</v>
          </cell>
          <cell r="E19" t="str">
            <v>Palermo</v>
          </cell>
          <cell r="H19">
            <v>1</v>
          </cell>
          <cell r="I19">
            <v>34420</v>
          </cell>
          <cell r="J19">
            <v>1</v>
          </cell>
          <cell r="K19">
            <v>5</v>
          </cell>
          <cell r="M19">
            <v>0</v>
          </cell>
          <cell r="N19">
            <v>1</v>
          </cell>
          <cell r="X19" t="b">
            <v>0</v>
          </cell>
          <cell r="BG19">
            <v>0</v>
          </cell>
          <cell r="BK19">
            <v>1</v>
          </cell>
          <cell r="BL19">
            <v>33</v>
          </cell>
          <cell r="BN19">
            <v>14.817248459958932</v>
          </cell>
          <cell r="BO19" t="str">
            <v>Child</v>
          </cell>
          <cell r="BQ19" t="str">
            <v>N</v>
          </cell>
          <cell r="BR19" t="str">
            <v>HHKidsOnly</v>
          </cell>
        </row>
        <row r="20">
          <cell r="C20" t="str">
            <v>Paulina</v>
          </cell>
          <cell r="E20" t="str">
            <v>Palmero</v>
          </cell>
          <cell r="H20">
            <v>8</v>
          </cell>
          <cell r="I20">
            <v>36844</v>
          </cell>
          <cell r="J20">
            <v>1</v>
          </cell>
          <cell r="K20">
            <v>5</v>
          </cell>
          <cell r="M20">
            <v>0</v>
          </cell>
          <cell r="N20">
            <v>1</v>
          </cell>
          <cell r="X20" t="b">
            <v>0</v>
          </cell>
          <cell r="BG20">
            <v>0</v>
          </cell>
          <cell r="BK20">
            <v>1</v>
          </cell>
          <cell r="BL20">
            <v>41</v>
          </cell>
          <cell r="BN20">
            <v>8.85968514715948</v>
          </cell>
          <cell r="BO20" t="str">
            <v>Child</v>
          </cell>
          <cell r="BQ20" t="str">
            <v>N</v>
          </cell>
          <cell r="BR20" t="str">
            <v>HHKidsOnly</v>
          </cell>
        </row>
        <row r="21">
          <cell r="C21" t="str">
            <v>Psalms</v>
          </cell>
          <cell r="E21" t="str">
            <v>Pancake</v>
          </cell>
          <cell r="H21">
            <v>1</v>
          </cell>
          <cell r="I21">
            <v>21895</v>
          </cell>
          <cell r="J21">
            <v>1</v>
          </cell>
          <cell r="K21">
            <v>5</v>
          </cell>
          <cell r="M21">
            <v>0</v>
          </cell>
          <cell r="N21">
            <v>1</v>
          </cell>
          <cell r="X21" t="b">
            <v>0</v>
          </cell>
          <cell r="BG21">
            <v>0</v>
          </cell>
          <cell r="BK21">
            <v>1</v>
          </cell>
          <cell r="BL21">
            <v>-44</v>
          </cell>
          <cell r="BN21">
            <v>48.657084188911703</v>
          </cell>
          <cell r="BO21" t="str">
            <v>Adult</v>
          </cell>
          <cell r="BQ21" t="str">
            <v>Y</v>
          </cell>
          <cell r="BR21" t="e">
            <v>#N/A</v>
          </cell>
        </row>
        <row r="22">
          <cell r="C22" t="str">
            <v>Panya</v>
          </cell>
          <cell r="E22" t="str">
            <v>Pancost</v>
          </cell>
          <cell r="I22">
            <v>36571</v>
          </cell>
          <cell r="J22">
            <v>1</v>
          </cell>
          <cell r="K22">
            <v>9</v>
          </cell>
          <cell r="M22">
            <v>1</v>
          </cell>
          <cell r="N22">
            <v>0</v>
          </cell>
          <cell r="X22" t="b">
            <v>0</v>
          </cell>
          <cell r="BG22">
            <v>0</v>
          </cell>
          <cell r="BK22">
            <v>0</v>
          </cell>
          <cell r="BL22">
            <v>26</v>
          </cell>
          <cell r="BN22">
            <v>9.1197809719370291</v>
          </cell>
          <cell r="BO22" t="str">
            <v>Child</v>
          </cell>
          <cell r="BQ22" t="str">
            <v>N</v>
          </cell>
          <cell r="BR22" t="str">
            <v>HHKidsOnly</v>
          </cell>
        </row>
        <row r="23">
          <cell r="C23" t="str">
            <v>Peri</v>
          </cell>
          <cell r="E23" t="str">
            <v>Pandini</v>
          </cell>
          <cell r="H23">
            <v>1</v>
          </cell>
          <cell r="I23">
            <v>22022</v>
          </cell>
          <cell r="J23">
            <v>1</v>
          </cell>
          <cell r="K23">
            <v>5</v>
          </cell>
          <cell r="M23">
            <v>0</v>
          </cell>
          <cell r="N23">
            <v>1</v>
          </cell>
          <cell r="X23" t="b">
            <v>0</v>
          </cell>
          <cell r="BG23">
            <v>0</v>
          </cell>
          <cell r="BK23">
            <v>1</v>
          </cell>
          <cell r="BL23">
            <v>-34</v>
          </cell>
          <cell r="BN23">
            <v>48.481861738535251</v>
          </cell>
          <cell r="BO23" t="str">
            <v>Adult</v>
          </cell>
          <cell r="BQ23" t="str">
            <v>Y</v>
          </cell>
          <cell r="BR23" t="e">
            <v>#N/A</v>
          </cell>
        </row>
        <row r="24">
          <cell r="C24" t="str">
            <v>Pina</v>
          </cell>
          <cell r="E24" t="str">
            <v>Panioto</v>
          </cell>
          <cell r="H24">
            <v>1</v>
          </cell>
          <cell r="I24">
            <v>28350</v>
          </cell>
          <cell r="J24">
            <v>1</v>
          </cell>
          <cell r="K24">
            <v>3</v>
          </cell>
          <cell r="M24">
            <v>0</v>
          </cell>
          <cell r="N24">
            <v>0</v>
          </cell>
          <cell r="X24" t="b">
            <v>0</v>
          </cell>
          <cell r="BG24">
            <v>0</v>
          </cell>
          <cell r="BK24">
            <v>0</v>
          </cell>
          <cell r="BL24">
            <v>77</v>
          </cell>
          <cell r="BN24">
            <v>31.392197125256672</v>
          </cell>
          <cell r="BO24" t="str">
            <v>Adult</v>
          </cell>
          <cell r="BQ24" t="str">
            <v>Y</v>
          </cell>
          <cell r="BR24" t="str">
            <v>HHNoKids</v>
          </cell>
        </row>
        <row r="25">
          <cell r="C25" t="str">
            <v>Cucumber</v>
          </cell>
          <cell r="E25" t="str">
            <v>Panioto</v>
          </cell>
          <cell r="H25">
            <v>1</v>
          </cell>
          <cell r="I25">
            <v>24211</v>
          </cell>
          <cell r="J25">
            <v>1</v>
          </cell>
          <cell r="K25">
            <v>3</v>
          </cell>
          <cell r="M25">
            <v>0</v>
          </cell>
          <cell r="N25">
            <v>1</v>
          </cell>
          <cell r="X25" t="b">
            <v>0</v>
          </cell>
          <cell r="BG25">
            <v>0</v>
          </cell>
          <cell r="BK25">
            <v>1</v>
          </cell>
          <cell r="BL25">
            <v>-22</v>
          </cell>
          <cell r="BN25">
            <v>42.488706365503077</v>
          </cell>
          <cell r="BO25" t="str">
            <v>Adult</v>
          </cell>
          <cell r="BQ25" t="str">
            <v>Y</v>
          </cell>
          <cell r="BR25" t="e">
            <v>#N/A</v>
          </cell>
        </row>
        <row r="26">
          <cell r="C26" t="str">
            <v>Palani</v>
          </cell>
          <cell r="E26" t="str">
            <v>Paolucci</v>
          </cell>
          <cell r="H26">
            <v>1</v>
          </cell>
          <cell r="I26">
            <v>19770</v>
          </cell>
          <cell r="J26">
            <v>1</v>
          </cell>
          <cell r="K26">
            <v>3</v>
          </cell>
          <cell r="M26">
            <v>0</v>
          </cell>
          <cell r="N26">
            <v>1</v>
          </cell>
          <cell r="X26" t="b">
            <v>0</v>
          </cell>
          <cell r="BG26">
            <v>0</v>
          </cell>
          <cell r="BK26">
            <v>1</v>
          </cell>
          <cell r="BL26">
            <v>-107</v>
          </cell>
          <cell r="BN26">
            <v>54.343600273785079</v>
          </cell>
          <cell r="BO26" t="str">
            <v>Adult</v>
          </cell>
          <cell r="BQ26" t="str">
            <v>Y</v>
          </cell>
          <cell r="BR26" t="e">
            <v>#N/A</v>
          </cell>
        </row>
        <row r="27">
          <cell r="C27" t="str">
            <v>Rosalind</v>
          </cell>
          <cell r="E27" t="str">
            <v>Papers</v>
          </cell>
          <cell r="H27">
            <v>1</v>
          </cell>
          <cell r="I27">
            <v>22511</v>
          </cell>
          <cell r="J27">
            <v>1</v>
          </cell>
          <cell r="K27">
            <v>5</v>
          </cell>
          <cell r="M27">
            <v>0</v>
          </cell>
          <cell r="N27">
            <v>1</v>
          </cell>
          <cell r="X27" t="b">
            <v>0</v>
          </cell>
          <cell r="BG27">
            <v>0</v>
          </cell>
          <cell r="BK27">
            <v>1</v>
          </cell>
          <cell r="BL27">
            <v>81</v>
          </cell>
          <cell r="BN27">
            <v>47.567419575633132</v>
          </cell>
          <cell r="BO27" t="str">
            <v>Adult</v>
          </cell>
          <cell r="BQ27" t="str">
            <v>Y</v>
          </cell>
          <cell r="BR27" t="str">
            <v>HHNoKids</v>
          </cell>
        </row>
        <row r="28">
          <cell r="C28" t="str">
            <v>Mali</v>
          </cell>
          <cell r="E28" t="str">
            <v>Paragraph</v>
          </cell>
          <cell r="H28">
            <v>1</v>
          </cell>
          <cell r="I28">
            <v>25120</v>
          </cell>
          <cell r="J28">
            <v>1</v>
          </cell>
          <cell r="K28">
            <v>1</v>
          </cell>
          <cell r="M28">
            <v>0</v>
          </cell>
          <cell r="N28">
            <v>0</v>
          </cell>
          <cell r="X28" t="b">
            <v>0</v>
          </cell>
          <cell r="BG28">
            <v>1</v>
          </cell>
          <cell r="BK28">
            <v>0</v>
          </cell>
          <cell r="BL28">
            <v>163</v>
          </cell>
          <cell r="BN28">
            <v>40.78302532511978</v>
          </cell>
          <cell r="BO28" t="str">
            <v>Adult</v>
          </cell>
          <cell r="BQ28" t="str">
            <v>Y</v>
          </cell>
          <cell r="BR28" t="str">
            <v>HHNoKids</v>
          </cell>
        </row>
        <row r="29">
          <cell r="C29" t="str">
            <v xml:space="preserve">May </v>
          </cell>
          <cell r="E29" t="str">
            <v>Paraphrase</v>
          </cell>
          <cell r="H29">
            <v>1</v>
          </cell>
          <cell r="I29">
            <v>32056</v>
          </cell>
          <cell r="J29">
            <v>1</v>
          </cell>
          <cell r="K29">
            <v>5</v>
          </cell>
          <cell r="M29">
            <v>0</v>
          </cell>
          <cell r="N29">
            <v>0</v>
          </cell>
          <cell r="X29" t="b">
            <v>0</v>
          </cell>
          <cell r="BG29">
            <v>1</v>
          </cell>
          <cell r="BK29">
            <v>0</v>
          </cell>
          <cell r="BL29">
            <v>163</v>
          </cell>
          <cell r="BN29">
            <v>21.793292265571527</v>
          </cell>
          <cell r="BO29" t="str">
            <v>Adult</v>
          </cell>
          <cell r="BQ29" t="str">
            <v>Y</v>
          </cell>
          <cell r="BR29" t="str">
            <v>HHNoKids</v>
          </cell>
        </row>
        <row r="30">
          <cell r="C30" t="str">
            <v>Miranda</v>
          </cell>
          <cell r="E30" t="str">
            <v>Parenthesis</v>
          </cell>
          <cell r="H30">
            <v>1</v>
          </cell>
          <cell r="I30">
            <v>31328</v>
          </cell>
          <cell r="J30">
            <v>1</v>
          </cell>
          <cell r="K30">
            <v>5</v>
          </cell>
          <cell r="M30">
            <v>0</v>
          </cell>
          <cell r="N30">
            <v>0</v>
          </cell>
          <cell r="X30" t="b">
            <v>0</v>
          </cell>
          <cell r="BG30">
            <v>1</v>
          </cell>
          <cell r="BK30">
            <v>0</v>
          </cell>
          <cell r="BL30">
            <v>132</v>
          </cell>
          <cell r="BN30">
            <v>23.871321013004792</v>
          </cell>
          <cell r="BO30" t="str">
            <v>Adult</v>
          </cell>
          <cell r="BQ30" t="str">
            <v>Y</v>
          </cell>
          <cell r="BR30" t="str">
            <v>HHNoKids</v>
          </cell>
        </row>
        <row r="31">
          <cell r="C31" t="str">
            <v>Palavi</v>
          </cell>
          <cell r="E31" t="str">
            <v>Parkhurst</v>
          </cell>
          <cell r="H31">
            <v>1</v>
          </cell>
          <cell r="I31">
            <v>17972</v>
          </cell>
          <cell r="J31">
            <v>1</v>
          </cell>
          <cell r="K31">
            <v>5</v>
          </cell>
          <cell r="M31">
            <v>0</v>
          </cell>
          <cell r="N31">
            <v>1</v>
          </cell>
          <cell r="X31" t="b">
            <v>0</v>
          </cell>
          <cell r="BG31">
            <v>1</v>
          </cell>
          <cell r="BK31">
            <v>1</v>
          </cell>
          <cell r="BL31">
            <v>131</v>
          </cell>
          <cell r="BN31">
            <v>60.219028062970565</v>
          </cell>
          <cell r="BO31" t="str">
            <v>Adult</v>
          </cell>
          <cell r="BQ31" t="str">
            <v>Y</v>
          </cell>
          <cell r="BR31" t="str">
            <v>HHNoKids</v>
          </cell>
        </row>
        <row r="32">
          <cell r="C32" t="str">
            <v>Bea</v>
          </cell>
          <cell r="E32" t="str">
            <v>Parkinson</v>
          </cell>
          <cell r="H32">
            <v>1</v>
          </cell>
          <cell r="I32">
            <v>38659</v>
          </cell>
          <cell r="J32">
            <v>2</v>
          </cell>
          <cell r="K32">
            <v>9</v>
          </cell>
          <cell r="M32">
            <v>0</v>
          </cell>
          <cell r="N32">
            <v>0</v>
          </cell>
          <cell r="X32" t="b">
            <v>0</v>
          </cell>
          <cell r="BG32">
            <v>0</v>
          </cell>
          <cell r="BK32">
            <v>0</v>
          </cell>
          <cell r="BL32">
            <v>84</v>
          </cell>
          <cell r="BN32">
            <v>3.9315537303216974</v>
          </cell>
          <cell r="BO32" t="str">
            <v>Child</v>
          </cell>
          <cell r="BQ32" t="str">
            <v>N</v>
          </cell>
          <cell r="BR32" t="str">
            <v>HHKidsOnly</v>
          </cell>
        </row>
        <row r="33">
          <cell r="C33" t="str">
            <v>Patience</v>
          </cell>
          <cell r="E33" t="str">
            <v>Parlance</v>
          </cell>
          <cell r="H33">
            <v>1</v>
          </cell>
          <cell r="I33">
            <v>38462</v>
          </cell>
          <cell r="J33">
            <v>1</v>
          </cell>
          <cell r="K33">
            <v>5</v>
          </cell>
          <cell r="M33">
            <v>0</v>
          </cell>
          <cell r="N33">
            <v>0</v>
          </cell>
          <cell r="X33" t="b">
            <v>0</v>
          </cell>
          <cell r="BG33">
            <v>0</v>
          </cell>
          <cell r="BK33">
            <v>0</v>
          </cell>
          <cell r="BL33">
            <v>85</v>
          </cell>
          <cell r="BN33">
            <v>4.3367556468172488</v>
          </cell>
          <cell r="BO33" t="str">
            <v>Child</v>
          </cell>
          <cell r="BQ33" t="str">
            <v>N</v>
          </cell>
          <cell r="BR33" t="str">
            <v>HHKidsOnly</v>
          </cell>
        </row>
        <row r="34">
          <cell r="C34" t="str">
            <v>Bella</v>
          </cell>
          <cell r="E34" t="str">
            <v>Parlin</v>
          </cell>
          <cell r="H34">
            <v>1</v>
          </cell>
          <cell r="I34">
            <v>38659</v>
          </cell>
          <cell r="J34">
            <v>1</v>
          </cell>
          <cell r="K34">
            <v>9</v>
          </cell>
          <cell r="M34">
            <v>0</v>
          </cell>
          <cell r="N34">
            <v>1</v>
          </cell>
          <cell r="X34" t="b">
            <v>0</v>
          </cell>
          <cell r="BG34">
            <v>0</v>
          </cell>
          <cell r="BK34">
            <v>1</v>
          </cell>
          <cell r="BL34">
            <v>84</v>
          </cell>
          <cell r="BN34">
            <v>3.9315537303216974</v>
          </cell>
          <cell r="BO34" t="str">
            <v>Child</v>
          </cell>
          <cell r="BQ34" t="str">
            <v>N</v>
          </cell>
          <cell r="BR34" t="str">
            <v>HHKidsOnly</v>
          </cell>
        </row>
        <row r="35">
          <cell r="C35" t="str">
            <v>Bianca</v>
          </cell>
          <cell r="E35" t="str">
            <v>Parnell</v>
          </cell>
          <cell r="H35">
            <v>1</v>
          </cell>
          <cell r="I35">
            <v>38205</v>
          </cell>
          <cell r="J35">
            <v>1</v>
          </cell>
          <cell r="K35">
            <v>5</v>
          </cell>
          <cell r="M35">
            <v>0</v>
          </cell>
          <cell r="N35">
            <v>0</v>
          </cell>
          <cell r="X35" t="b">
            <v>0</v>
          </cell>
          <cell r="BG35">
            <v>0</v>
          </cell>
          <cell r="BK35">
            <v>0</v>
          </cell>
          <cell r="BL35">
            <v>84</v>
          </cell>
          <cell r="BN35">
            <v>5.1745379876796713</v>
          </cell>
          <cell r="BO35" t="str">
            <v>Child</v>
          </cell>
          <cell r="BQ35" t="str">
            <v>N</v>
          </cell>
          <cell r="BR35" t="str">
            <v>HHKidsOnly</v>
          </cell>
        </row>
        <row r="36">
          <cell r="C36" t="str">
            <v>Octavio</v>
          </cell>
          <cell r="E36" t="str">
            <v>Paroxysm</v>
          </cell>
          <cell r="H36">
            <v>1</v>
          </cell>
          <cell r="I36">
            <v>34523</v>
          </cell>
          <cell r="J36">
            <v>1</v>
          </cell>
          <cell r="K36">
            <v>3</v>
          </cell>
          <cell r="L36">
            <v>5</v>
          </cell>
          <cell r="M36">
            <v>0</v>
          </cell>
          <cell r="N36">
            <v>1</v>
          </cell>
          <cell r="X36" t="b">
            <v>0</v>
          </cell>
          <cell r="BG36">
            <v>1</v>
          </cell>
          <cell r="BK36">
            <v>1</v>
          </cell>
          <cell r="BL36">
            <v>11</v>
          </cell>
          <cell r="BN36">
            <v>15.123887748117728</v>
          </cell>
          <cell r="BO36" t="str">
            <v>Child</v>
          </cell>
          <cell r="BQ36" t="str">
            <v>N</v>
          </cell>
          <cell r="BR36" t="str">
            <v>HHKidsOnly</v>
          </cell>
        </row>
        <row r="37">
          <cell r="C37" t="str">
            <v>Posy</v>
          </cell>
          <cell r="E37" t="str">
            <v>Parrillo</v>
          </cell>
          <cell r="H37">
            <v>1</v>
          </cell>
          <cell r="I37">
            <v>23974</v>
          </cell>
          <cell r="J37">
            <v>1</v>
          </cell>
          <cell r="K37">
            <v>4</v>
          </cell>
          <cell r="L37">
            <v>5</v>
          </cell>
          <cell r="M37">
            <v>0</v>
          </cell>
          <cell r="N37">
            <v>0</v>
          </cell>
          <cell r="X37" t="b">
            <v>0</v>
          </cell>
          <cell r="BG37">
            <v>0</v>
          </cell>
          <cell r="BK37">
            <v>0</v>
          </cell>
          <cell r="BL37">
            <v>-2</v>
          </cell>
          <cell r="BN37">
            <v>43.134839151266256</v>
          </cell>
          <cell r="BO37" t="str">
            <v>Adult</v>
          </cell>
          <cell r="BQ37" t="str">
            <v>Y</v>
          </cell>
          <cell r="BR37" t="e">
            <v>#N/A</v>
          </cell>
        </row>
        <row r="38">
          <cell r="C38" t="str">
            <v>Pyralis</v>
          </cell>
          <cell r="E38" t="str">
            <v>Parrotte</v>
          </cell>
          <cell r="H38">
            <v>1</v>
          </cell>
          <cell r="I38">
            <v>26028</v>
          </cell>
          <cell r="J38">
            <v>1</v>
          </cell>
          <cell r="K38">
            <v>2</v>
          </cell>
          <cell r="M38">
            <v>0</v>
          </cell>
          <cell r="N38">
            <v>0</v>
          </cell>
          <cell r="X38" t="b">
            <v>0</v>
          </cell>
          <cell r="BG38">
            <v>0</v>
          </cell>
          <cell r="BK38">
            <v>0</v>
          </cell>
          <cell r="BL38">
            <v>85</v>
          </cell>
          <cell r="BN38">
            <v>38.379192334017795</v>
          </cell>
          <cell r="BO38" t="str">
            <v>Adult</v>
          </cell>
          <cell r="BQ38" t="str">
            <v>Y</v>
          </cell>
          <cell r="BR38" t="str">
            <v>HHNoKids</v>
          </cell>
        </row>
        <row r="39">
          <cell r="C39" t="str">
            <v>Odette</v>
          </cell>
          <cell r="E39" t="str">
            <v>Parsimonious</v>
          </cell>
          <cell r="H39">
            <v>1</v>
          </cell>
          <cell r="I39">
            <v>39152</v>
          </cell>
          <cell r="J39">
            <v>1</v>
          </cell>
          <cell r="K39">
            <v>5</v>
          </cell>
          <cell r="M39">
            <v>0</v>
          </cell>
          <cell r="N39">
            <v>0</v>
          </cell>
          <cell r="X39" t="b">
            <v>0</v>
          </cell>
          <cell r="BG39">
            <v>1</v>
          </cell>
          <cell r="BK39">
            <v>0</v>
          </cell>
          <cell r="BL39">
            <v>163</v>
          </cell>
          <cell r="BN39">
            <v>2.3655030800821355</v>
          </cell>
          <cell r="BO39" t="str">
            <v>Child</v>
          </cell>
          <cell r="BQ39" t="str">
            <v>N</v>
          </cell>
          <cell r="BR39" t="str">
            <v>HHKidsOnly</v>
          </cell>
        </row>
        <row r="40">
          <cell r="C40" t="str">
            <v>Radish</v>
          </cell>
          <cell r="E40" t="str">
            <v>Parsley</v>
          </cell>
          <cell r="H40">
            <v>1</v>
          </cell>
          <cell r="I40">
            <v>34649</v>
          </cell>
          <cell r="J40">
            <v>1</v>
          </cell>
          <cell r="K40">
            <v>2</v>
          </cell>
          <cell r="M40">
            <v>0</v>
          </cell>
          <cell r="N40">
            <v>0</v>
          </cell>
          <cell r="X40" t="b">
            <v>0</v>
          </cell>
          <cell r="BG40">
            <v>0</v>
          </cell>
          <cell r="BK40">
            <v>0</v>
          </cell>
          <cell r="BL40">
            <v>85</v>
          </cell>
          <cell r="BN40">
            <v>14.776180698151951</v>
          </cell>
          <cell r="BO40" t="str">
            <v>Child</v>
          </cell>
          <cell r="BQ40" t="str">
            <v>N</v>
          </cell>
          <cell r="BR40" t="str">
            <v>HHKidsOnly</v>
          </cell>
        </row>
        <row r="41">
          <cell r="C41" t="str">
            <v>Pierce</v>
          </cell>
          <cell r="E41" t="str">
            <v>Parson</v>
          </cell>
          <cell r="H41">
            <v>1</v>
          </cell>
          <cell r="I41">
            <v>24171</v>
          </cell>
          <cell r="J41">
            <v>1</v>
          </cell>
          <cell r="K41">
            <v>3</v>
          </cell>
          <cell r="M41">
            <v>0</v>
          </cell>
          <cell r="N41">
            <v>0</v>
          </cell>
          <cell r="X41" t="b">
            <v>0</v>
          </cell>
          <cell r="BG41">
            <v>0</v>
          </cell>
          <cell r="BK41">
            <v>0</v>
          </cell>
          <cell r="BL41">
            <v>90</v>
          </cell>
          <cell r="BN41">
            <v>43.498973305954827</v>
          </cell>
          <cell r="BO41" t="str">
            <v>Adult</v>
          </cell>
          <cell r="BQ41" t="str">
            <v>Y</v>
          </cell>
          <cell r="BR41" t="str">
            <v>HHNoKids</v>
          </cell>
        </row>
        <row r="42">
          <cell r="C42" t="str">
            <v>Priddy</v>
          </cell>
          <cell r="E42" t="str">
            <v>Parsons</v>
          </cell>
          <cell r="H42">
            <v>1</v>
          </cell>
          <cell r="I42">
            <v>24757</v>
          </cell>
          <cell r="J42">
            <v>1</v>
          </cell>
          <cell r="K42">
            <v>2</v>
          </cell>
          <cell r="M42">
            <v>0</v>
          </cell>
          <cell r="N42">
            <v>0</v>
          </cell>
          <cell r="X42" t="b">
            <v>0</v>
          </cell>
          <cell r="BG42">
            <v>0</v>
          </cell>
          <cell r="BK42">
            <v>0</v>
          </cell>
          <cell r="BL42">
            <v>92</v>
          </cell>
          <cell r="BN42">
            <v>41.935660506502394</v>
          </cell>
          <cell r="BO42" t="str">
            <v>Adult</v>
          </cell>
          <cell r="BQ42" t="str">
            <v>Y</v>
          </cell>
          <cell r="BR42" t="str">
            <v>HHNoKids</v>
          </cell>
        </row>
        <row r="43">
          <cell r="C43" t="str">
            <v>Pierre</v>
          </cell>
          <cell r="E43" t="str">
            <v>Parton</v>
          </cell>
          <cell r="H43">
            <v>1</v>
          </cell>
          <cell r="I43">
            <v>33042</v>
          </cell>
          <cell r="J43">
            <v>1</v>
          </cell>
          <cell r="K43">
            <v>3</v>
          </cell>
          <cell r="M43">
            <v>0</v>
          </cell>
          <cell r="N43">
            <v>0</v>
          </cell>
          <cell r="X43" t="b">
            <v>0</v>
          </cell>
          <cell r="BG43">
            <v>0</v>
          </cell>
          <cell r="BK43">
            <v>0</v>
          </cell>
          <cell r="BL43">
            <v>90</v>
          </cell>
          <cell r="BN43">
            <v>19.211498973305954</v>
          </cell>
          <cell r="BO43" t="str">
            <v>Adult</v>
          </cell>
          <cell r="BQ43" t="str">
            <v>Y</v>
          </cell>
          <cell r="BR43" t="str">
            <v>HHNoKids</v>
          </cell>
        </row>
        <row r="44">
          <cell r="C44" t="str">
            <v>Pilar</v>
          </cell>
          <cell r="E44" t="str">
            <v>Partridge</v>
          </cell>
          <cell r="H44">
            <v>1</v>
          </cell>
          <cell r="I44">
            <v>39742</v>
          </cell>
          <cell r="J44">
            <v>1</v>
          </cell>
          <cell r="K44">
            <v>3</v>
          </cell>
          <cell r="M44">
            <v>0</v>
          </cell>
          <cell r="N44">
            <v>1</v>
          </cell>
          <cell r="X44" t="b">
            <v>0</v>
          </cell>
          <cell r="BG44">
            <v>0</v>
          </cell>
          <cell r="BK44">
            <v>1</v>
          </cell>
          <cell r="BL44">
            <v>90</v>
          </cell>
          <cell r="BN44">
            <v>0.86789869952087606</v>
          </cell>
          <cell r="BO44" t="str">
            <v>Child</v>
          </cell>
          <cell r="BQ44" t="str">
            <v>N</v>
          </cell>
          <cell r="BR44" t="str">
            <v>HHKidsOnly</v>
          </cell>
        </row>
        <row r="45">
          <cell r="C45" t="str">
            <v>Poppy</v>
          </cell>
          <cell r="E45" t="str">
            <v>Patent</v>
          </cell>
          <cell r="H45">
            <v>1</v>
          </cell>
          <cell r="I45">
            <v>18376</v>
          </cell>
          <cell r="J45">
            <v>1</v>
          </cell>
          <cell r="K45">
            <v>4</v>
          </cell>
          <cell r="M45">
            <v>0</v>
          </cell>
          <cell r="N45">
            <v>1</v>
          </cell>
          <cell r="X45" t="b">
            <v>0</v>
          </cell>
          <cell r="BG45">
            <v>0</v>
          </cell>
          <cell r="BK45">
            <v>1</v>
          </cell>
          <cell r="BL45">
            <v>88</v>
          </cell>
          <cell r="BN45">
            <v>58.781656399726216</v>
          </cell>
          <cell r="BO45" t="str">
            <v>Adult</v>
          </cell>
          <cell r="BQ45" t="str">
            <v>Y</v>
          </cell>
          <cell r="BR45" t="str">
            <v>HHNoKids</v>
          </cell>
        </row>
        <row r="46">
          <cell r="C46" t="str">
            <v>Pear</v>
          </cell>
          <cell r="E46" t="str">
            <v>Pathologist</v>
          </cell>
          <cell r="H46">
            <v>1</v>
          </cell>
          <cell r="I46">
            <v>17119</v>
          </cell>
          <cell r="J46">
            <v>1</v>
          </cell>
          <cell r="K46">
            <v>4</v>
          </cell>
          <cell r="M46">
            <v>0</v>
          </cell>
          <cell r="N46">
            <v>6</v>
          </cell>
          <cell r="X46" t="b">
            <v>0</v>
          </cell>
          <cell r="BG46">
            <v>0</v>
          </cell>
          <cell r="BK46">
            <v>6</v>
          </cell>
          <cell r="BL46">
            <v>44</v>
          </cell>
          <cell r="BN46">
            <v>62.458590006844624</v>
          </cell>
          <cell r="BO46" t="str">
            <v>Adult</v>
          </cell>
          <cell r="BQ46" t="str">
            <v>Y</v>
          </cell>
          <cell r="BR46" t="str">
            <v>HHNoKids</v>
          </cell>
        </row>
        <row r="47">
          <cell r="C47" t="str">
            <v>Ava</v>
          </cell>
          <cell r="E47" t="str">
            <v>Patmon</v>
          </cell>
          <cell r="I47">
            <v>36930</v>
          </cell>
          <cell r="J47">
            <v>1</v>
          </cell>
          <cell r="K47">
            <v>3</v>
          </cell>
          <cell r="M47">
            <v>0</v>
          </cell>
          <cell r="N47">
            <v>0</v>
          </cell>
          <cell r="X47" t="b">
            <v>0</v>
          </cell>
          <cell r="BG47">
            <v>0</v>
          </cell>
          <cell r="BK47">
            <v>0</v>
          </cell>
          <cell r="BL47">
            <v>77</v>
          </cell>
          <cell r="BN47">
            <v>7.9014373716632447</v>
          </cell>
          <cell r="BO47" t="str">
            <v>Child</v>
          </cell>
          <cell r="BQ47" t="str">
            <v>N</v>
          </cell>
          <cell r="BR47" t="str">
            <v>HHKidsOnly</v>
          </cell>
        </row>
        <row r="48">
          <cell r="C48" t="str">
            <v>Pentium</v>
          </cell>
          <cell r="E48" t="str">
            <v>Patrick</v>
          </cell>
          <cell r="H48">
            <v>1</v>
          </cell>
          <cell r="I48">
            <v>27092</v>
          </cell>
          <cell r="J48">
            <v>1</v>
          </cell>
          <cell r="K48">
            <v>3</v>
          </cell>
          <cell r="M48">
            <v>0</v>
          </cell>
          <cell r="N48">
            <v>0</v>
          </cell>
          <cell r="X48" t="b">
            <v>0</v>
          </cell>
          <cell r="BG48">
            <v>0</v>
          </cell>
          <cell r="BK48">
            <v>0</v>
          </cell>
          <cell r="BL48">
            <v>-14</v>
          </cell>
          <cell r="BN48">
            <v>34.726899383983572</v>
          </cell>
          <cell r="BO48" t="str">
            <v>Adult</v>
          </cell>
          <cell r="BQ48" t="str">
            <v>Y</v>
          </cell>
          <cell r="BR48" t="e">
            <v>#N/A</v>
          </cell>
        </row>
        <row r="49">
          <cell r="C49" t="str">
            <v>Turion</v>
          </cell>
          <cell r="E49" t="str">
            <v>Patterson</v>
          </cell>
          <cell r="H49">
            <v>1</v>
          </cell>
          <cell r="I49">
            <v>36625</v>
          </cell>
          <cell r="K49">
            <v>3</v>
          </cell>
          <cell r="M49">
            <v>0</v>
          </cell>
          <cell r="N49">
            <v>0</v>
          </cell>
          <cell r="X49" t="b">
            <v>0</v>
          </cell>
          <cell r="BG49">
            <v>0</v>
          </cell>
          <cell r="BK49">
            <v>0</v>
          </cell>
          <cell r="BL49">
            <v>-14</v>
          </cell>
          <cell r="BN49">
            <v>8.6269678302532515</v>
          </cell>
          <cell r="BO49" t="str">
            <v>Child</v>
          </cell>
          <cell r="BQ49" t="str">
            <v>N</v>
          </cell>
          <cell r="BR49" t="e">
            <v>#N/A</v>
          </cell>
        </row>
        <row r="50">
          <cell r="C50" t="str">
            <v>Amber</v>
          </cell>
          <cell r="E50" t="str">
            <v>Pavlov</v>
          </cell>
          <cell r="H50">
            <v>1</v>
          </cell>
          <cell r="I50">
            <v>36199</v>
          </cell>
          <cell r="K50">
            <v>3</v>
          </cell>
          <cell r="M50">
            <v>0</v>
          </cell>
          <cell r="N50">
            <v>1</v>
          </cell>
          <cell r="X50" t="b">
            <v>0</v>
          </cell>
          <cell r="BG50">
            <v>0</v>
          </cell>
          <cell r="BK50">
            <v>1</v>
          </cell>
          <cell r="BL50">
            <v>-14</v>
          </cell>
          <cell r="BN50">
            <v>9.7932922655715267</v>
          </cell>
          <cell r="BO50" t="str">
            <v>Child</v>
          </cell>
          <cell r="BQ50" t="str">
            <v>N</v>
          </cell>
          <cell r="BR50" t="e">
            <v>#N/A</v>
          </cell>
        </row>
        <row r="51">
          <cell r="C51" t="str">
            <v>Petunia</v>
          </cell>
          <cell r="E51" t="str">
            <v>Pearce</v>
          </cell>
          <cell r="H51">
            <v>1</v>
          </cell>
          <cell r="I51">
            <v>23469</v>
          </cell>
          <cell r="J51">
            <v>1</v>
          </cell>
          <cell r="K51">
            <v>5</v>
          </cell>
          <cell r="M51">
            <v>0</v>
          </cell>
          <cell r="N51">
            <v>0</v>
          </cell>
          <cell r="X51" t="b">
            <v>0</v>
          </cell>
          <cell r="BG51">
            <v>0</v>
          </cell>
          <cell r="BK51">
            <v>0</v>
          </cell>
          <cell r="BL51">
            <v>-69</v>
          </cell>
          <cell r="BN51">
            <v>44.446269678302535</v>
          </cell>
          <cell r="BO51" t="str">
            <v>Adult</v>
          </cell>
          <cell r="BQ51" t="str">
            <v>Y</v>
          </cell>
          <cell r="BR51" t="e">
            <v>#N/A</v>
          </cell>
        </row>
        <row r="52">
          <cell r="C52" t="str">
            <v>Phaedra</v>
          </cell>
          <cell r="E52" t="str">
            <v>Pearlman</v>
          </cell>
          <cell r="H52">
            <v>1</v>
          </cell>
          <cell r="I52">
            <v>35069</v>
          </cell>
          <cell r="J52">
            <v>2</v>
          </cell>
          <cell r="K52">
            <v>5</v>
          </cell>
          <cell r="M52">
            <v>0</v>
          </cell>
          <cell r="N52">
            <v>1</v>
          </cell>
          <cell r="X52" t="b">
            <v>0</v>
          </cell>
          <cell r="BG52">
            <v>0</v>
          </cell>
          <cell r="BK52">
            <v>1</v>
          </cell>
          <cell r="BL52">
            <v>-99</v>
          </cell>
          <cell r="BN52">
            <v>12.687200547570157</v>
          </cell>
          <cell r="BO52" t="str">
            <v>Child</v>
          </cell>
          <cell r="BQ52" t="str">
            <v>N</v>
          </cell>
          <cell r="BR52" t="e">
            <v>#N/A</v>
          </cell>
        </row>
        <row r="53">
          <cell r="C53" t="str">
            <v>Phailin</v>
          </cell>
          <cell r="E53" t="str">
            <v>Pearson</v>
          </cell>
          <cell r="H53">
            <v>1</v>
          </cell>
          <cell r="I53">
            <v>35051</v>
          </cell>
          <cell r="K53">
            <v>5</v>
          </cell>
          <cell r="M53">
            <v>0</v>
          </cell>
          <cell r="N53">
            <v>1</v>
          </cell>
          <cell r="X53" t="b">
            <v>0</v>
          </cell>
          <cell r="BG53">
            <v>0</v>
          </cell>
          <cell r="BK53">
            <v>1</v>
          </cell>
          <cell r="BL53">
            <v>-99</v>
          </cell>
          <cell r="BN53">
            <v>12.736481861738536</v>
          </cell>
          <cell r="BO53" t="str">
            <v>Child</v>
          </cell>
          <cell r="BQ53" t="str">
            <v>N</v>
          </cell>
          <cell r="BR53" t="e">
            <v>#N/A</v>
          </cell>
        </row>
        <row r="54">
          <cell r="C54" t="str">
            <v>Viola</v>
          </cell>
          <cell r="E54" t="str">
            <v>Peck</v>
          </cell>
          <cell r="H54">
            <v>1</v>
          </cell>
          <cell r="I54">
            <v>24470</v>
          </cell>
          <cell r="J54">
            <v>1</v>
          </cell>
          <cell r="K54">
            <v>3</v>
          </cell>
          <cell r="M54">
            <v>0</v>
          </cell>
          <cell r="N54">
            <v>1</v>
          </cell>
          <cell r="X54" t="b">
            <v>0</v>
          </cell>
          <cell r="BG54">
            <v>0</v>
          </cell>
          <cell r="BK54">
            <v>1</v>
          </cell>
          <cell r="BL54">
            <v>19</v>
          </cell>
          <cell r="BN54">
            <v>42.053388090349074</v>
          </cell>
          <cell r="BO54" t="str">
            <v>Adult</v>
          </cell>
          <cell r="BQ54" t="str">
            <v>Y</v>
          </cell>
          <cell r="BR54" t="str">
            <v>HHNoKids</v>
          </cell>
        </row>
        <row r="55">
          <cell r="C55" t="str">
            <v>Parti</v>
          </cell>
          <cell r="E55" t="str">
            <v>Pedagogue</v>
          </cell>
          <cell r="H55">
            <v>1</v>
          </cell>
          <cell r="I55">
            <v>23539</v>
          </cell>
          <cell r="J55">
            <v>1</v>
          </cell>
          <cell r="K55">
            <v>3</v>
          </cell>
          <cell r="M55">
            <v>0</v>
          </cell>
          <cell r="N55">
            <v>1</v>
          </cell>
          <cell r="X55" t="b">
            <v>0</v>
          </cell>
          <cell r="BG55">
            <v>0</v>
          </cell>
          <cell r="BK55">
            <v>1</v>
          </cell>
          <cell r="BL55">
            <v>132</v>
          </cell>
          <cell r="BN55">
            <v>44.999315537303218</v>
          </cell>
          <cell r="BO55" t="str">
            <v>Adult</v>
          </cell>
          <cell r="BQ55" t="str">
            <v>Y</v>
          </cell>
          <cell r="BR55" t="str">
            <v>HHNoKids</v>
          </cell>
        </row>
        <row r="56">
          <cell r="C56" t="str">
            <v>Orange</v>
          </cell>
          <cell r="E56" t="str">
            <v>Pedant</v>
          </cell>
          <cell r="H56">
            <v>1</v>
          </cell>
          <cell r="I56">
            <v>28412</v>
          </cell>
          <cell r="J56">
            <v>1</v>
          </cell>
          <cell r="K56">
            <v>9</v>
          </cell>
          <cell r="M56">
            <v>1</v>
          </cell>
          <cell r="N56">
            <v>0</v>
          </cell>
          <cell r="X56" t="b">
            <v>0</v>
          </cell>
          <cell r="BG56">
            <v>0</v>
          </cell>
          <cell r="BK56">
            <v>0</v>
          </cell>
          <cell r="BL56">
            <v>59</v>
          </cell>
          <cell r="BN56">
            <v>32.054757015742645</v>
          </cell>
          <cell r="BO56" t="str">
            <v>Adult</v>
          </cell>
          <cell r="BQ56" t="str">
            <v>Y</v>
          </cell>
          <cell r="BR56" t="str">
            <v>HHNoKids</v>
          </cell>
        </row>
        <row r="57">
          <cell r="C57" t="str">
            <v xml:space="preserve">Virgilia </v>
          </cell>
          <cell r="E57" t="str">
            <v>Pegalize</v>
          </cell>
          <cell r="H57">
            <v>1</v>
          </cell>
          <cell r="I57">
            <v>27303</v>
          </cell>
          <cell r="J57">
            <v>1</v>
          </cell>
          <cell r="K57">
            <v>3</v>
          </cell>
          <cell r="M57">
            <v>0</v>
          </cell>
          <cell r="N57">
            <v>0</v>
          </cell>
          <cell r="X57" t="b">
            <v>0</v>
          </cell>
          <cell r="BG57">
            <v>0</v>
          </cell>
          <cell r="BK57">
            <v>0</v>
          </cell>
          <cell r="BL57">
            <v>93</v>
          </cell>
          <cell r="BN57">
            <v>34.87748117727584</v>
          </cell>
          <cell r="BO57" t="str">
            <v>Adult</v>
          </cell>
          <cell r="BQ57" t="str">
            <v>Y</v>
          </cell>
          <cell r="BR57" t="str">
            <v>HHNoKids</v>
          </cell>
        </row>
        <row r="58">
          <cell r="C58" t="str">
            <v>Leigh</v>
          </cell>
          <cell r="E58" t="str">
            <v>Peggers</v>
          </cell>
          <cell r="H58">
            <v>1</v>
          </cell>
          <cell r="I58">
            <v>23729</v>
          </cell>
          <cell r="J58">
            <v>1</v>
          </cell>
          <cell r="K58">
            <v>3</v>
          </cell>
          <cell r="M58">
            <v>0</v>
          </cell>
          <cell r="N58">
            <v>1</v>
          </cell>
          <cell r="X58" t="b">
            <v>0</v>
          </cell>
          <cell r="BG58">
            <v>0</v>
          </cell>
          <cell r="BK58">
            <v>1</v>
          </cell>
          <cell r="BL58">
            <v>-84</v>
          </cell>
          <cell r="BN58">
            <v>43.59479808350445</v>
          </cell>
          <cell r="BO58" t="str">
            <v>Adult</v>
          </cell>
          <cell r="BQ58" t="str">
            <v>Y</v>
          </cell>
          <cell r="BR58" t="e">
            <v>#N/A</v>
          </cell>
        </row>
        <row r="59">
          <cell r="C59" t="str">
            <v>Paloma</v>
          </cell>
          <cell r="E59" t="str">
            <v>Pelican</v>
          </cell>
          <cell r="H59">
            <v>1</v>
          </cell>
          <cell r="I59">
            <v>39494</v>
          </cell>
          <cell r="J59">
            <v>1</v>
          </cell>
          <cell r="K59">
            <v>3</v>
          </cell>
          <cell r="L59">
            <v>5</v>
          </cell>
          <cell r="M59">
            <v>0</v>
          </cell>
          <cell r="N59">
            <v>1</v>
          </cell>
          <cell r="X59" t="b">
            <v>0</v>
          </cell>
          <cell r="BG59">
            <v>0</v>
          </cell>
          <cell r="BK59">
            <v>1</v>
          </cell>
          <cell r="BL59">
            <v>35</v>
          </cell>
          <cell r="BN59">
            <v>1.0704996577686516</v>
          </cell>
          <cell r="BO59" t="str">
            <v>Child</v>
          </cell>
          <cell r="BQ59" t="str">
            <v>N</v>
          </cell>
          <cell r="BR59" t="str">
            <v>HHKidsOnly</v>
          </cell>
        </row>
        <row r="60">
          <cell r="C60" t="str">
            <v>Pablo</v>
          </cell>
          <cell r="E60" t="str">
            <v>Pelican</v>
          </cell>
          <cell r="H60">
            <v>1</v>
          </cell>
          <cell r="I60">
            <v>30052</v>
          </cell>
          <cell r="J60">
            <v>1</v>
          </cell>
          <cell r="K60">
            <v>5</v>
          </cell>
          <cell r="M60">
            <v>0</v>
          </cell>
          <cell r="N60">
            <v>1</v>
          </cell>
          <cell r="X60" t="b">
            <v>0</v>
          </cell>
          <cell r="BG60">
            <v>0</v>
          </cell>
          <cell r="BK60">
            <v>1</v>
          </cell>
          <cell r="BL60">
            <v>59</v>
          </cell>
          <cell r="BN60">
            <v>27.564681724845997</v>
          </cell>
          <cell r="BO60" t="str">
            <v>Adult</v>
          </cell>
          <cell r="BQ60" t="str">
            <v>Y</v>
          </cell>
          <cell r="BR60" t="str">
            <v>HHNoKids</v>
          </cell>
        </row>
        <row r="61">
          <cell r="C61" t="str">
            <v>Paz</v>
          </cell>
          <cell r="E61" t="str">
            <v>Pella</v>
          </cell>
          <cell r="H61">
            <v>1</v>
          </cell>
          <cell r="I61">
            <v>22379</v>
          </cell>
          <cell r="J61">
            <v>1</v>
          </cell>
          <cell r="K61">
            <v>9</v>
          </cell>
          <cell r="M61">
            <v>1</v>
          </cell>
          <cell r="N61">
            <v>1</v>
          </cell>
          <cell r="X61" t="b">
            <v>0</v>
          </cell>
          <cell r="BG61">
            <v>0</v>
          </cell>
          <cell r="BK61">
            <v>1</v>
          </cell>
          <cell r="BL61">
            <v>98</v>
          </cell>
          <cell r="BN61">
            <v>48.145106091717999</v>
          </cell>
          <cell r="BO61" t="str">
            <v>Adult</v>
          </cell>
          <cell r="BQ61" t="str">
            <v>Y</v>
          </cell>
          <cell r="BR61" t="str">
            <v>HHNoKids</v>
          </cell>
        </row>
        <row r="62">
          <cell r="C62" t="str">
            <v>Percy</v>
          </cell>
          <cell r="E62" t="str">
            <v>Pella</v>
          </cell>
          <cell r="H62">
            <v>1</v>
          </cell>
          <cell r="I62">
            <v>20572</v>
          </cell>
          <cell r="J62">
            <v>1</v>
          </cell>
          <cell r="K62">
            <v>3</v>
          </cell>
          <cell r="L62">
            <v>5</v>
          </cell>
          <cell r="M62">
            <v>0</v>
          </cell>
          <cell r="N62">
            <v>1</v>
          </cell>
          <cell r="X62" t="b">
            <v>0</v>
          </cell>
          <cell r="BG62">
            <v>1</v>
          </cell>
          <cell r="BK62">
            <v>1</v>
          </cell>
          <cell r="BL62">
            <v>48</v>
          </cell>
          <cell r="BN62">
            <v>52.799452429842574</v>
          </cell>
          <cell r="BO62" t="str">
            <v>Adult</v>
          </cell>
          <cell r="BQ62" t="str">
            <v>Y</v>
          </cell>
          <cell r="BR62" t="str">
            <v>HHNoKids</v>
          </cell>
        </row>
        <row r="63">
          <cell r="C63" t="str">
            <v>Paciencia</v>
          </cell>
          <cell r="E63" t="str">
            <v>Pellagra</v>
          </cell>
          <cell r="H63">
            <v>8</v>
          </cell>
          <cell r="I63">
            <v>37417</v>
          </cell>
          <cell r="J63">
            <v>1</v>
          </cell>
          <cell r="K63">
            <v>4</v>
          </cell>
          <cell r="M63">
            <v>0</v>
          </cell>
          <cell r="N63">
            <v>0</v>
          </cell>
          <cell r="X63" t="b">
            <v>0</v>
          </cell>
          <cell r="BG63">
            <v>0</v>
          </cell>
          <cell r="BK63">
            <v>0</v>
          </cell>
          <cell r="BL63">
            <v>59</v>
          </cell>
          <cell r="BN63">
            <v>7.40041067761807</v>
          </cell>
          <cell r="BO63" t="str">
            <v>Child</v>
          </cell>
          <cell r="BQ63" t="str">
            <v>N</v>
          </cell>
          <cell r="BR63" t="str">
            <v>HHKidsOnly</v>
          </cell>
        </row>
        <row r="64">
          <cell r="C64" t="str">
            <v>Phil</v>
          </cell>
          <cell r="E64" t="str">
            <v>Pena</v>
          </cell>
          <cell r="H64">
            <v>1</v>
          </cell>
          <cell r="I64">
            <v>17447</v>
          </cell>
          <cell r="J64">
            <v>1</v>
          </cell>
          <cell r="K64">
            <v>3</v>
          </cell>
          <cell r="M64">
            <v>0</v>
          </cell>
          <cell r="N64">
            <v>1</v>
          </cell>
          <cell r="X64" t="b">
            <v>0</v>
          </cell>
          <cell r="BG64">
            <v>0</v>
          </cell>
          <cell r="BK64">
            <v>1</v>
          </cell>
          <cell r="BL64">
            <v>104</v>
          </cell>
          <cell r="BN64">
            <v>61.442847364818618</v>
          </cell>
          <cell r="BO64" t="str">
            <v>Adult</v>
          </cell>
          <cell r="BQ64" t="str">
            <v>Y</v>
          </cell>
          <cell r="BR64" t="str">
            <v>HHNoKids</v>
          </cell>
        </row>
        <row r="65">
          <cell r="C65" t="str">
            <v>Mali</v>
          </cell>
          <cell r="E65" t="str">
            <v>Pendergrass</v>
          </cell>
          <cell r="H65">
            <v>1</v>
          </cell>
          <cell r="I65">
            <v>27393</v>
          </cell>
          <cell r="J65">
            <v>1</v>
          </cell>
          <cell r="K65">
            <v>3</v>
          </cell>
          <cell r="M65">
            <v>0</v>
          </cell>
          <cell r="N65">
            <v>0</v>
          </cell>
          <cell r="X65" t="b">
            <v>0</v>
          </cell>
          <cell r="BG65">
            <v>0</v>
          </cell>
          <cell r="BK65">
            <v>0</v>
          </cell>
          <cell r="BL65">
            <v>-60</v>
          </cell>
          <cell r="BN65">
            <v>33.634496919917865</v>
          </cell>
          <cell r="BO65" t="str">
            <v>Adult</v>
          </cell>
          <cell r="BQ65" t="str">
            <v>Y</v>
          </cell>
          <cell r="BR65" t="e">
            <v>#N/A</v>
          </cell>
        </row>
        <row r="66">
          <cell r="C66" t="str">
            <v>Page</v>
          </cell>
          <cell r="E66" t="str">
            <v>Pendulum</v>
          </cell>
          <cell r="H66">
            <v>8</v>
          </cell>
          <cell r="I66">
            <v>38082</v>
          </cell>
          <cell r="J66">
            <v>1</v>
          </cell>
          <cell r="K66">
            <v>4</v>
          </cell>
          <cell r="M66">
            <v>0</v>
          </cell>
          <cell r="N66">
            <v>1</v>
          </cell>
          <cell r="X66" t="b">
            <v>0</v>
          </cell>
          <cell r="BG66">
            <v>0</v>
          </cell>
          <cell r="BK66">
            <v>1</v>
          </cell>
          <cell r="BL66">
            <v>59</v>
          </cell>
          <cell r="BN66">
            <v>5.5797399041752227</v>
          </cell>
          <cell r="BO66" t="str">
            <v>Child</v>
          </cell>
          <cell r="BQ66" t="str">
            <v>N</v>
          </cell>
          <cell r="BR66" t="str">
            <v>HHKidsOnly</v>
          </cell>
        </row>
        <row r="67">
          <cell r="C67" t="str">
            <v>Paije</v>
          </cell>
          <cell r="E67" t="str">
            <v>Penitence</v>
          </cell>
          <cell r="H67">
            <v>8</v>
          </cell>
          <cell r="I67">
            <v>38571</v>
          </cell>
          <cell r="J67">
            <v>1</v>
          </cell>
          <cell r="K67">
            <v>1</v>
          </cell>
          <cell r="M67">
            <v>0</v>
          </cell>
          <cell r="N67">
            <v>1</v>
          </cell>
          <cell r="X67" t="b">
            <v>0</v>
          </cell>
          <cell r="BG67">
            <v>0</v>
          </cell>
          <cell r="BK67">
            <v>1</v>
          </cell>
          <cell r="BL67">
            <v>59</v>
          </cell>
          <cell r="BN67">
            <v>4.2409308692676246</v>
          </cell>
          <cell r="BO67" t="str">
            <v>Child</v>
          </cell>
          <cell r="BQ67" t="str">
            <v>N</v>
          </cell>
          <cell r="BR67" t="str">
            <v>HHKidsOnly</v>
          </cell>
        </row>
        <row r="68">
          <cell r="C68" t="str">
            <v>Pilis</v>
          </cell>
          <cell r="E68" t="str">
            <v>Peoria</v>
          </cell>
          <cell r="H68">
            <v>1</v>
          </cell>
          <cell r="I68">
            <v>20476</v>
          </cell>
          <cell r="J68">
            <v>1</v>
          </cell>
          <cell r="K68">
            <v>9</v>
          </cell>
          <cell r="M68">
            <v>0</v>
          </cell>
          <cell r="N68">
            <v>1</v>
          </cell>
          <cell r="X68" t="b">
            <v>0</v>
          </cell>
          <cell r="BG68">
            <v>0</v>
          </cell>
          <cell r="BK68">
            <v>1</v>
          </cell>
          <cell r="BL68">
            <v>63</v>
          </cell>
          <cell r="BN68">
            <v>52.958247775496233</v>
          </cell>
          <cell r="BO68" t="str">
            <v>Adult</v>
          </cell>
          <cell r="BQ68" t="str">
            <v>Y</v>
          </cell>
          <cell r="BR68" t="str">
            <v>HHNoKids</v>
          </cell>
        </row>
        <row r="69">
          <cell r="C69" t="str">
            <v>Peregrina</v>
          </cell>
          <cell r="E69" t="str">
            <v>Pepper</v>
          </cell>
          <cell r="H69">
            <v>1</v>
          </cell>
          <cell r="I69">
            <v>22431</v>
          </cell>
          <cell r="J69">
            <v>1</v>
          </cell>
          <cell r="K69">
            <v>3</v>
          </cell>
          <cell r="M69">
            <v>0</v>
          </cell>
          <cell r="N69">
            <v>1</v>
          </cell>
          <cell r="X69" t="b">
            <v>0</v>
          </cell>
          <cell r="BG69">
            <v>0</v>
          </cell>
          <cell r="BK69">
            <v>1</v>
          </cell>
          <cell r="BL69">
            <v>81</v>
          </cell>
          <cell r="BN69">
            <v>48.369609856262834</v>
          </cell>
          <cell r="BO69" t="str">
            <v>Adult</v>
          </cell>
          <cell r="BQ69" t="str">
            <v>Y</v>
          </cell>
          <cell r="BR69" t="str">
            <v>HHNoKids</v>
          </cell>
        </row>
        <row r="70">
          <cell r="C70" t="str">
            <v>Perez</v>
          </cell>
          <cell r="E70" t="str">
            <v>Peralta</v>
          </cell>
          <cell r="H70">
            <v>1</v>
          </cell>
          <cell r="I70">
            <v>34277</v>
          </cell>
          <cell r="J70">
            <v>1</v>
          </cell>
          <cell r="K70">
            <v>3</v>
          </cell>
          <cell r="M70">
            <v>0</v>
          </cell>
          <cell r="N70">
            <v>0</v>
          </cell>
          <cell r="X70" t="b">
            <v>0</v>
          </cell>
          <cell r="BG70">
            <v>0</v>
          </cell>
          <cell r="BK70">
            <v>0</v>
          </cell>
          <cell r="BL70">
            <v>81</v>
          </cell>
          <cell r="BN70">
            <v>15.937029431895962</v>
          </cell>
          <cell r="BO70" t="str">
            <v>Child</v>
          </cell>
          <cell r="BQ70" t="str">
            <v>N</v>
          </cell>
          <cell r="BR70" t="str">
            <v>HHKidsOnly</v>
          </cell>
        </row>
        <row r="71">
          <cell r="C71" t="str">
            <v>Pavana</v>
          </cell>
          <cell r="E71" t="str">
            <v>Perceive</v>
          </cell>
          <cell r="I71">
            <v>34045</v>
          </cell>
          <cell r="J71">
            <v>1</v>
          </cell>
          <cell r="K71">
            <v>4</v>
          </cell>
          <cell r="M71">
            <v>0</v>
          </cell>
          <cell r="N71">
            <v>0</v>
          </cell>
          <cell r="X71" t="b">
            <v>0</v>
          </cell>
          <cell r="BG71">
            <v>0</v>
          </cell>
          <cell r="BK71">
            <v>0</v>
          </cell>
          <cell r="BL71">
            <v>47</v>
          </cell>
          <cell r="BN71">
            <v>15.88227241615332</v>
          </cell>
          <cell r="BO71" t="str">
            <v>Child</v>
          </cell>
          <cell r="BQ71" t="str">
            <v>N</v>
          </cell>
          <cell r="BR71" t="str">
            <v>HHKidsOnly</v>
          </cell>
        </row>
        <row r="72">
          <cell r="C72" t="str">
            <v>Paiva</v>
          </cell>
          <cell r="E72" t="str">
            <v>Percentage</v>
          </cell>
          <cell r="H72">
            <v>8</v>
          </cell>
          <cell r="I72">
            <v>39724</v>
          </cell>
          <cell r="J72">
            <v>1</v>
          </cell>
          <cell r="K72">
            <v>9</v>
          </cell>
          <cell r="M72">
            <v>0</v>
          </cell>
          <cell r="N72">
            <v>1</v>
          </cell>
          <cell r="X72" t="b">
            <v>0</v>
          </cell>
          <cell r="BG72">
            <v>0</v>
          </cell>
          <cell r="BK72">
            <v>1</v>
          </cell>
          <cell r="BL72">
            <v>59</v>
          </cell>
          <cell r="BN72">
            <v>1.0841889117043122</v>
          </cell>
          <cell r="BO72" t="str">
            <v>Child</v>
          </cell>
          <cell r="BQ72" t="str">
            <v>N</v>
          </cell>
          <cell r="BR72" t="str">
            <v>HHKidsOnly</v>
          </cell>
        </row>
        <row r="73">
          <cell r="C73" t="str">
            <v>Lemon</v>
          </cell>
          <cell r="E73" t="str">
            <v>Perception</v>
          </cell>
          <cell r="I73">
            <v>38286</v>
          </cell>
          <cell r="K73">
            <v>3</v>
          </cell>
          <cell r="M73">
            <v>0</v>
          </cell>
          <cell r="N73">
            <v>0</v>
          </cell>
          <cell r="X73" t="b">
            <v>0</v>
          </cell>
          <cell r="BG73">
            <v>0</v>
          </cell>
          <cell r="BK73">
            <v>0</v>
          </cell>
          <cell r="BL73">
            <v>-121</v>
          </cell>
          <cell r="BN73">
            <v>3.8110882956878851</v>
          </cell>
          <cell r="BO73" t="str">
            <v>Child</v>
          </cell>
          <cell r="BQ73" t="str">
            <v>N</v>
          </cell>
          <cell r="BR73" t="e">
            <v>#N/A</v>
          </cell>
        </row>
        <row r="74">
          <cell r="C74" t="str">
            <v>Shiny</v>
          </cell>
          <cell r="E74" t="str">
            <v>Perennial</v>
          </cell>
          <cell r="H74">
            <v>1</v>
          </cell>
          <cell r="I74">
            <v>26012</v>
          </cell>
          <cell r="J74">
            <v>1</v>
          </cell>
          <cell r="K74">
            <v>3</v>
          </cell>
          <cell r="M74">
            <v>0</v>
          </cell>
          <cell r="N74">
            <v>1</v>
          </cell>
          <cell r="X74" t="b">
            <v>0</v>
          </cell>
          <cell r="BG74">
            <v>0</v>
          </cell>
          <cell r="BK74">
            <v>1</v>
          </cell>
          <cell r="BL74">
            <v>-115</v>
          </cell>
          <cell r="BN74">
            <v>37.226557152635181</v>
          </cell>
          <cell r="BO74" t="str">
            <v>Adult</v>
          </cell>
          <cell r="BQ74" t="str">
            <v>Y</v>
          </cell>
          <cell r="BR74" t="e">
            <v>#N/A</v>
          </cell>
        </row>
        <row r="75">
          <cell r="C75" t="str">
            <v>Molly</v>
          </cell>
          <cell r="E75" t="str">
            <v>Peripatetic</v>
          </cell>
          <cell r="H75">
            <v>1</v>
          </cell>
          <cell r="I75">
            <v>23744</v>
          </cell>
          <cell r="J75">
            <v>1</v>
          </cell>
          <cell r="K75">
            <v>3</v>
          </cell>
          <cell r="M75">
            <v>0</v>
          </cell>
          <cell r="N75">
            <v>1</v>
          </cell>
          <cell r="X75" t="b">
            <v>0</v>
          </cell>
          <cell r="BG75">
            <v>0</v>
          </cell>
          <cell r="BK75">
            <v>1</v>
          </cell>
          <cell r="BL75">
            <v>50</v>
          </cell>
          <cell r="BN75">
            <v>44.28747433264887</v>
          </cell>
          <cell r="BO75" t="str">
            <v>Adult</v>
          </cell>
          <cell r="BQ75" t="str">
            <v>Y</v>
          </cell>
          <cell r="BR75" t="str">
            <v>HHNoKids</v>
          </cell>
        </row>
        <row r="76">
          <cell r="C76" t="str">
            <v>Romeo</v>
          </cell>
          <cell r="E76" t="str">
            <v>Perkins</v>
          </cell>
          <cell r="H76">
            <v>1</v>
          </cell>
          <cell r="I76">
            <v>24785</v>
          </cell>
          <cell r="J76">
            <v>1</v>
          </cell>
          <cell r="K76">
            <v>3</v>
          </cell>
          <cell r="M76">
            <v>0</v>
          </cell>
          <cell r="N76">
            <v>1</v>
          </cell>
          <cell r="X76" t="b">
            <v>0</v>
          </cell>
          <cell r="BG76">
            <v>1</v>
          </cell>
          <cell r="BK76">
            <v>1</v>
          </cell>
          <cell r="BL76">
            <v>152</v>
          </cell>
          <cell r="BN76">
            <v>41.730321697467488</v>
          </cell>
          <cell r="BO76" t="str">
            <v>Adult</v>
          </cell>
          <cell r="BQ76" t="str">
            <v>Y</v>
          </cell>
          <cell r="BR76" t="str">
            <v>HHNoKids</v>
          </cell>
        </row>
        <row r="77">
          <cell r="C77" t="str">
            <v>Pilota</v>
          </cell>
          <cell r="E77" t="str">
            <v>Perone</v>
          </cell>
          <cell r="H77">
            <v>1</v>
          </cell>
          <cell r="I77">
            <v>26910</v>
          </cell>
          <cell r="J77">
            <v>1</v>
          </cell>
          <cell r="K77">
            <v>3</v>
          </cell>
          <cell r="M77">
            <v>0</v>
          </cell>
          <cell r="N77">
            <v>0</v>
          </cell>
          <cell r="X77" t="b">
            <v>0</v>
          </cell>
          <cell r="BG77">
            <v>0</v>
          </cell>
          <cell r="BK77">
            <v>0</v>
          </cell>
          <cell r="BL77">
            <v>84</v>
          </cell>
          <cell r="BN77">
            <v>36.098562628336758</v>
          </cell>
          <cell r="BO77" t="str">
            <v>Adult</v>
          </cell>
          <cell r="BQ77" t="str">
            <v>Y</v>
          </cell>
          <cell r="BR77" t="str">
            <v>HHNoKids</v>
          </cell>
        </row>
        <row r="78">
          <cell r="C78" t="str">
            <v>Pineapple</v>
          </cell>
          <cell r="E78" t="str">
            <v>Perrine</v>
          </cell>
          <cell r="H78">
            <v>1</v>
          </cell>
          <cell r="I78">
            <v>33813</v>
          </cell>
          <cell r="J78">
            <v>1</v>
          </cell>
          <cell r="K78">
            <v>3</v>
          </cell>
          <cell r="M78">
            <v>0</v>
          </cell>
          <cell r="N78">
            <v>0</v>
          </cell>
          <cell r="X78" t="b">
            <v>0</v>
          </cell>
          <cell r="BG78">
            <v>0</v>
          </cell>
          <cell r="BK78">
            <v>0</v>
          </cell>
          <cell r="BL78">
            <v>84</v>
          </cell>
          <cell r="BN78">
            <v>17.199178644763862</v>
          </cell>
          <cell r="BO78" t="str">
            <v>Child</v>
          </cell>
          <cell r="BQ78" t="str">
            <v>N</v>
          </cell>
          <cell r="BR78" t="str">
            <v>HHKidsOnly</v>
          </cell>
        </row>
        <row r="79">
          <cell r="C79" t="str">
            <v>Presta</v>
          </cell>
          <cell r="E79" t="str">
            <v>Perry</v>
          </cell>
          <cell r="H79">
            <v>8</v>
          </cell>
          <cell r="I79">
            <v>38378</v>
          </cell>
          <cell r="J79">
            <v>1</v>
          </cell>
          <cell r="K79">
            <v>3</v>
          </cell>
          <cell r="M79">
            <v>0</v>
          </cell>
          <cell r="N79">
            <v>0</v>
          </cell>
          <cell r="X79" t="b">
            <v>0</v>
          </cell>
          <cell r="BG79">
            <v>0</v>
          </cell>
          <cell r="BK79">
            <v>0</v>
          </cell>
          <cell r="BL79">
            <v>61</v>
          </cell>
          <cell r="BN79">
            <v>4.6817248459958929</v>
          </cell>
          <cell r="BO79" t="str">
            <v>Child</v>
          </cell>
          <cell r="BQ79" t="str">
            <v>N</v>
          </cell>
          <cell r="BR79" t="str">
            <v>HHKidsOnly</v>
          </cell>
        </row>
        <row r="80">
          <cell r="C80" t="str">
            <v>Mali</v>
          </cell>
          <cell r="E80" t="str">
            <v>Perry</v>
          </cell>
          <cell r="H80">
            <v>1</v>
          </cell>
          <cell r="I80">
            <v>24057</v>
          </cell>
          <cell r="J80">
            <v>1</v>
          </cell>
          <cell r="K80">
            <v>3</v>
          </cell>
          <cell r="M80">
            <v>0</v>
          </cell>
          <cell r="N80">
            <v>0</v>
          </cell>
          <cell r="X80" t="b">
            <v>0</v>
          </cell>
          <cell r="BG80">
            <v>0</v>
          </cell>
          <cell r="BK80">
            <v>0</v>
          </cell>
          <cell r="BL80">
            <v>18</v>
          </cell>
          <cell r="BN80">
            <v>44.090349075975361</v>
          </cell>
          <cell r="BO80" t="str">
            <v>Adult</v>
          </cell>
          <cell r="BQ80" t="str">
            <v>Y</v>
          </cell>
          <cell r="BR80" t="str">
            <v>HHNoKids</v>
          </cell>
        </row>
        <row r="81">
          <cell r="C81" t="str">
            <v>Piper</v>
          </cell>
          <cell r="E81" t="str">
            <v>Perryman</v>
          </cell>
          <cell r="H81">
            <v>1</v>
          </cell>
          <cell r="I81">
            <v>36387</v>
          </cell>
          <cell r="J81">
            <v>1</v>
          </cell>
          <cell r="K81">
            <v>3</v>
          </cell>
          <cell r="M81">
            <v>0</v>
          </cell>
          <cell r="N81">
            <v>1</v>
          </cell>
          <cell r="X81" t="b">
            <v>0</v>
          </cell>
          <cell r="BG81">
            <v>0</v>
          </cell>
          <cell r="BK81">
            <v>1</v>
          </cell>
          <cell r="BL81">
            <v>84</v>
          </cell>
          <cell r="BN81">
            <v>10.151950718685832</v>
          </cell>
          <cell r="BO81" t="str">
            <v>Child</v>
          </cell>
          <cell r="BQ81" t="str">
            <v>N</v>
          </cell>
          <cell r="BR81" t="str">
            <v>HHKidsOnly</v>
          </cell>
        </row>
        <row r="82">
          <cell r="C82" t="str">
            <v>Mango</v>
          </cell>
          <cell r="E82" t="str">
            <v>Perryman</v>
          </cell>
          <cell r="H82">
            <v>1</v>
          </cell>
          <cell r="I82">
            <v>35064</v>
          </cell>
          <cell r="J82">
            <v>1</v>
          </cell>
          <cell r="K82">
            <v>3</v>
          </cell>
          <cell r="M82">
            <v>0</v>
          </cell>
          <cell r="N82">
            <v>1</v>
          </cell>
          <cell r="X82" t="b">
            <v>0</v>
          </cell>
          <cell r="BG82">
            <v>0</v>
          </cell>
          <cell r="BK82">
            <v>1</v>
          </cell>
          <cell r="BL82">
            <v>18</v>
          </cell>
          <cell r="BN82">
            <v>13.95482546201232</v>
          </cell>
          <cell r="BO82" t="str">
            <v>Child</v>
          </cell>
          <cell r="BQ82" t="str">
            <v>N</v>
          </cell>
          <cell r="BR82" t="str">
            <v>HHKidsOnly</v>
          </cell>
        </row>
        <row r="83">
          <cell r="C83" t="str">
            <v>Prema</v>
          </cell>
          <cell r="E83" t="str">
            <v>Person</v>
          </cell>
          <cell r="H83">
            <v>1</v>
          </cell>
          <cell r="I83">
            <v>37819</v>
          </cell>
          <cell r="J83">
            <v>1</v>
          </cell>
          <cell r="K83">
            <v>3</v>
          </cell>
          <cell r="M83">
            <v>0</v>
          </cell>
          <cell r="N83">
            <v>0</v>
          </cell>
          <cell r="X83" t="b">
            <v>0</v>
          </cell>
          <cell r="BG83">
            <v>0</v>
          </cell>
          <cell r="BK83">
            <v>0</v>
          </cell>
          <cell r="BL83">
            <v>77</v>
          </cell>
          <cell r="BN83">
            <v>5.4674880219028061</v>
          </cell>
          <cell r="BO83" t="str">
            <v>Child</v>
          </cell>
          <cell r="BQ83" t="str">
            <v>N</v>
          </cell>
          <cell r="BR83" t="str">
            <v>HHKidsOnly</v>
          </cell>
        </row>
        <row r="84">
          <cell r="C84" t="str">
            <v>Petronella</v>
          </cell>
          <cell r="E84" t="str">
            <v>Persuasion</v>
          </cell>
          <cell r="H84">
            <v>1</v>
          </cell>
          <cell r="I84">
            <v>32314</v>
          </cell>
          <cell r="J84">
            <v>1</v>
          </cell>
          <cell r="K84">
            <v>3</v>
          </cell>
          <cell r="M84">
            <v>0</v>
          </cell>
          <cell r="N84">
            <v>0</v>
          </cell>
          <cell r="X84" t="b">
            <v>0</v>
          </cell>
          <cell r="BG84">
            <v>0</v>
          </cell>
          <cell r="BK84">
            <v>0</v>
          </cell>
          <cell r="BL84">
            <v>42</v>
          </cell>
          <cell r="BN84">
            <v>20.687200547570157</v>
          </cell>
          <cell r="BO84" t="str">
            <v>Adult</v>
          </cell>
          <cell r="BQ84" t="str">
            <v>Y</v>
          </cell>
          <cell r="BR84" t="str">
            <v>HHNoKids</v>
          </cell>
        </row>
        <row r="85">
          <cell r="C85" t="str">
            <v>Petula</v>
          </cell>
          <cell r="E85" t="str">
            <v>Pertinacious</v>
          </cell>
          <cell r="H85">
            <v>1</v>
          </cell>
          <cell r="I85">
            <v>39025</v>
          </cell>
          <cell r="J85">
            <v>1</v>
          </cell>
          <cell r="K85">
            <v>3</v>
          </cell>
          <cell r="M85">
            <v>0</v>
          </cell>
          <cell r="N85">
            <v>1</v>
          </cell>
          <cell r="X85" t="b">
            <v>0</v>
          </cell>
          <cell r="BG85">
            <v>0</v>
          </cell>
          <cell r="BK85">
            <v>1</v>
          </cell>
          <cell r="BL85">
            <v>42</v>
          </cell>
          <cell r="BN85">
            <v>2.3134839151266258</v>
          </cell>
          <cell r="BO85" t="str">
            <v>Child</v>
          </cell>
          <cell r="BQ85" t="str">
            <v>N</v>
          </cell>
          <cell r="BR85" t="str">
            <v>HHKidsOnly</v>
          </cell>
        </row>
        <row r="86">
          <cell r="C86" t="str">
            <v>Peyton</v>
          </cell>
          <cell r="E86" t="str">
            <v>Pervade</v>
          </cell>
          <cell r="I86">
            <v>39496</v>
          </cell>
          <cell r="J86">
            <v>1</v>
          </cell>
          <cell r="K86">
            <v>3</v>
          </cell>
          <cell r="M86">
            <v>0</v>
          </cell>
          <cell r="N86">
            <v>0</v>
          </cell>
          <cell r="X86" t="b">
            <v>0</v>
          </cell>
          <cell r="BG86">
            <v>0</v>
          </cell>
          <cell r="BK86">
            <v>0</v>
          </cell>
          <cell r="BL86">
            <v>42</v>
          </cell>
          <cell r="BN86">
            <v>1.0239561943874058</v>
          </cell>
          <cell r="BO86" t="str">
            <v>Child</v>
          </cell>
          <cell r="BQ86" t="str">
            <v>N</v>
          </cell>
          <cell r="BR86" t="str">
            <v>HHKidsOnly</v>
          </cell>
        </row>
        <row r="87">
          <cell r="C87" t="str">
            <v>Pippa</v>
          </cell>
          <cell r="E87" t="str">
            <v>Pescovitz</v>
          </cell>
          <cell r="H87">
            <v>1</v>
          </cell>
          <cell r="I87">
            <v>37529</v>
          </cell>
          <cell r="J87">
            <v>1</v>
          </cell>
          <cell r="K87">
            <v>3</v>
          </cell>
          <cell r="M87">
            <v>0</v>
          </cell>
          <cell r="N87">
            <v>0</v>
          </cell>
          <cell r="X87" t="b">
            <v>0</v>
          </cell>
          <cell r="BG87">
            <v>0</v>
          </cell>
          <cell r="BK87">
            <v>0</v>
          </cell>
          <cell r="BL87">
            <v>84</v>
          </cell>
          <cell r="BN87">
            <v>7.0253251197809723</v>
          </cell>
          <cell r="BO87" t="str">
            <v>Child</v>
          </cell>
          <cell r="BQ87" t="str">
            <v>N</v>
          </cell>
          <cell r="BR87" t="str">
            <v>HHKidsOnly</v>
          </cell>
        </row>
        <row r="88">
          <cell r="C88" t="str">
            <v>Mattie</v>
          </cell>
          <cell r="E88" t="str">
            <v>Pescovitz</v>
          </cell>
          <cell r="H88">
            <v>1</v>
          </cell>
          <cell r="I88">
            <v>35819</v>
          </cell>
          <cell r="J88">
            <v>1</v>
          </cell>
          <cell r="K88">
            <v>3</v>
          </cell>
          <cell r="M88">
            <v>0</v>
          </cell>
          <cell r="N88">
            <v>0</v>
          </cell>
          <cell r="X88" t="b">
            <v>0</v>
          </cell>
          <cell r="BG88">
            <v>0</v>
          </cell>
          <cell r="BK88">
            <v>0</v>
          </cell>
          <cell r="BL88">
            <v>18</v>
          </cell>
          <cell r="BN88">
            <v>11.887748117727584</v>
          </cell>
          <cell r="BO88" t="str">
            <v>Child</v>
          </cell>
          <cell r="BQ88" t="str">
            <v>N</v>
          </cell>
          <cell r="BR88" t="str">
            <v>HHKidsOnly</v>
          </cell>
        </row>
        <row r="89">
          <cell r="C89" t="str">
            <v>Panina</v>
          </cell>
          <cell r="E89" t="str">
            <v>Pessler</v>
          </cell>
          <cell r="H89">
            <v>1</v>
          </cell>
          <cell r="I89">
            <v>19340</v>
          </cell>
          <cell r="J89">
            <v>1</v>
          </cell>
          <cell r="K89">
            <v>2</v>
          </cell>
          <cell r="L89">
            <v>5</v>
          </cell>
          <cell r="M89">
            <v>0</v>
          </cell>
          <cell r="N89">
            <v>2</v>
          </cell>
          <cell r="X89" t="b">
            <v>0</v>
          </cell>
          <cell r="BG89">
            <v>1</v>
          </cell>
          <cell r="BK89">
            <v>2</v>
          </cell>
          <cell r="BL89">
            <v>79</v>
          </cell>
          <cell r="BN89">
            <v>56.320328542094458</v>
          </cell>
          <cell r="BO89" t="str">
            <v>Adult</v>
          </cell>
          <cell r="BQ89" t="str">
            <v>Y</v>
          </cell>
          <cell r="BR89" t="str">
            <v>HHNoKids</v>
          </cell>
        </row>
        <row r="90">
          <cell r="C90" t="str">
            <v>Pirro</v>
          </cell>
          <cell r="E90" t="str">
            <v>Peterbaugh</v>
          </cell>
          <cell r="H90">
            <v>1</v>
          </cell>
          <cell r="I90">
            <v>38105</v>
          </cell>
          <cell r="J90">
            <v>1</v>
          </cell>
          <cell r="K90">
            <v>3</v>
          </cell>
          <cell r="M90">
            <v>0</v>
          </cell>
          <cell r="N90">
            <v>0</v>
          </cell>
          <cell r="X90" t="b">
            <v>0</v>
          </cell>
          <cell r="BG90">
            <v>0</v>
          </cell>
          <cell r="BK90">
            <v>0</v>
          </cell>
          <cell r="BL90">
            <v>84</v>
          </cell>
          <cell r="BN90">
            <v>5.4483230663928817</v>
          </cell>
          <cell r="BO90" t="str">
            <v>Child</v>
          </cell>
          <cell r="BQ90" t="str">
            <v>N</v>
          </cell>
          <cell r="BR90" t="str">
            <v>HHKidsOnly</v>
          </cell>
        </row>
        <row r="91">
          <cell r="C91" t="str">
            <v>Pisces</v>
          </cell>
          <cell r="E91" t="str">
            <v>Peters</v>
          </cell>
          <cell r="H91">
            <v>1</v>
          </cell>
          <cell r="I91">
            <v>38678</v>
          </cell>
          <cell r="J91">
            <v>1</v>
          </cell>
          <cell r="K91">
            <v>3</v>
          </cell>
          <cell r="M91">
            <v>0</v>
          </cell>
          <cell r="N91">
            <v>0</v>
          </cell>
          <cell r="X91" t="b">
            <v>0</v>
          </cell>
          <cell r="BG91">
            <v>0</v>
          </cell>
          <cell r="BK91">
            <v>0</v>
          </cell>
          <cell r="BL91">
            <v>84</v>
          </cell>
          <cell r="BN91">
            <v>3.8795345653661877</v>
          </cell>
          <cell r="BO91" t="str">
            <v>Child</v>
          </cell>
          <cell r="BQ91" t="str">
            <v>N</v>
          </cell>
          <cell r="BR91" t="str">
            <v>HHKidsOnly</v>
          </cell>
        </row>
        <row r="92">
          <cell r="C92" t="str">
            <v>Prospera</v>
          </cell>
          <cell r="E92" t="str">
            <v>Petersen</v>
          </cell>
          <cell r="H92">
            <v>1</v>
          </cell>
          <cell r="I92">
            <v>18914</v>
          </cell>
          <cell r="J92">
            <v>1</v>
          </cell>
          <cell r="K92">
            <v>3</v>
          </cell>
          <cell r="M92">
            <v>0</v>
          </cell>
          <cell r="N92">
            <v>1</v>
          </cell>
          <cell r="X92" t="b">
            <v>0</v>
          </cell>
          <cell r="BG92">
            <v>0</v>
          </cell>
          <cell r="BK92">
            <v>1</v>
          </cell>
          <cell r="BL92">
            <v>93</v>
          </cell>
          <cell r="BN92">
            <v>57.85352498288843</v>
          </cell>
          <cell r="BO92" t="str">
            <v>Adult</v>
          </cell>
          <cell r="BQ92" t="str">
            <v>Y</v>
          </cell>
          <cell r="BR92" t="str">
            <v>HHNoKids</v>
          </cell>
        </row>
        <row r="93">
          <cell r="C93" t="str">
            <v>Prue</v>
          </cell>
          <cell r="E93" t="str">
            <v>Petit</v>
          </cell>
          <cell r="H93">
            <v>8</v>
          </cell>
          <cell r="I93">
            <v>32943</v>
          </cell>
          <cell r="J93">
            <v>1</v>
          </cell>
          <cell r="K93">
            <v>3</v>
          </cell>
          <cell r="M93">
            <v>0</v>
          </cell>
          <cell r="N93">
            <v>1</v>
          </cell>
          <cell r="X93" t="b">
            <v>0</v>
          </cell>
          <cell r="BG93">
            <v>0</v>
          </cell>
          <cell r="BK93">
            <v>1</v>
          </cell>
          <cell r="BL93">
            <v>93</v>
          </cell>
          <cell r="BN93">
            <v>19.444216290212182</v>
          </cell>
          <cell r="BO93" t="str">
            <v>Adult</v>
          </cell>
          <cell r="BQ93" t="str">
            <v>Y</v>
          </cell>
          <cell r="BR93" t="str">
            <v>HHNoKids</v>
          </cell>
        </row>
        <row r="94">
          <cell r="C94" t="str">
            <v>Pleasance</v>
          </cell>
          <cell r="E94" t="str">
            <v>Peverlock</v>
          </cell>
          <cell r="H94">
            <v>1</v>
          </cell>
          <cell r="I94">
            <v>23575</v>
          </cell>
          <cell r="J94">
            <v>1</v>
          </cell>
          <cell r="K94">
            <v>3</v>
          </cell>
          <cell r="M94">
            <v>0</v>
          </cell>
          <cell r="N94">
            <v>1</v>
          </cell>
          <cell r="X94" t="b">
            <v>0</v>
          </cell>
          <cell r="BG94">
            <v>0</v>
          </cell>
          <cell r="BK94">
            <v>1</v>
          </cell>
          <cell r="BL94">
            <v>87</v>
          </cell>
          <cell r="BN94">
            <v>44.643394934976044</v>
          </cell>
          <cell r="BO94" t="str">
            <v>Adult</v>
          </cell>
          <cell r="BQ94" t="str">
            <v>Y</v>
          </cell>
          <cell r="BR94" t="str">
            <v>HHNoKids</v>
          </cell>
        </row>
        <row r="95">
          <cell r="C95" t="str">
            <v>Pleasance</v>
          </cell>
          <cell r="E95" t="str">
            <v>Pfaltzgraf</v>
          </cell>
          <cell r="H95">
            <v>1</v>
          </cell>
          <cell r="I95">
            <v>38262</v>
          </cell>
          <cell r="J95">
            <v>1</v>
          </cell>
          <cell r="K95">
            <v>3</v>
          </cell>
          <cell r="M95">
            <v>0</v>
          </cell>
          <cell r="N95">
            <v>0</v>
          </cell>
          <cell r="X95" t="b">
            <v>0</v>
          </cell>
          <cell r="BG95">
            <v>0</v>
          </cell>
          <cell r="BK95">
            <v>0</v>
          </cell>
          <cell r="BL95">
            <v>84</v>
          </cell>
          <cell r="BN95">
            <v>5.0184804928131417</v>
          </cell>
          <cell r="BO95" t="str">
            <v>Child</v>
          </cell>
          <cell r="BQ95" t="str">
            <v>N</v>
          </cell>
          <cell r="BR95" t="str">
            <v>HHKidsOnly</v>
          </cell>
        </row>
        <row r="96">
          <cell r="C96" t="str">
            <v>Philyra</v>
          </cell>
          <cell r="E96" t="str">
            <v>Phamous</v>
          </cell>
          <cell r="H96">
            <v>1</v>
          </cell>
          <cell r="I96">
            <v>31855</v>
          </cell>
          <cell r="J96">
            <v>1</v>
          </cell>
          <cell r="K96">
            <v>3</v>
          </cell>
          <cell r="M96">
            <v>0</v>
          </cell>
          <cell r="N96">
            <v>0</v>
          </cell>
          <cell r="X96" t="b">
            <v>0</v>
          </cell>
          <cell r="BG96">
            <v>0</v>
          </cell>
          <cell r="BK96">
            <v>0</v>
          </cell>
          <cell r="BL96">
            <v>138</v>
          </cell>
          <cell r="BN96">
            <v>22.056125941136209</v>
          </cell>
          <cell r="BO96" t="str">
            <v>Adult</v>
          </cell>
          <cell r="BQ96" t="str">
            <v>Y</v>
          </cell>
          <cell r="BR96" t="str">
            <v>HHNoKids</v>
          </cell>
        </row>
        <row r="97">
          <cell r="C97" t="str">
            <v>Turion</v>
          </cell>
          <cell r="E97" t="str">
            <v>Phancy</v>
          </cell>
          <cell r="H97">
            <v>1</v>
          </cell>
          <cell r="I97">
            <v>38558</v>
          </cell>
          <cell r="J97">
            <v>1</v>
          </cell>
          <cell r="K97">
            <v>3</v>
          </cell>
          <cell r="M97">
            <v>0</v>
          </cell>
          <cell r="N97">
            <v>0</v>
          </cell>
          <cell r="X97" t="b">
            <v>0</v>
          </cell>
          <cell r="BG97">
            <v>0</v>
          </cell>
          <cell r="BK97">
            <v>0</v>
          </cell>
          <cell r="BL97">
            <v>93</v>
          </cell>
          <cell r="BN97">
            <v>4.0629705681040384</v>
          </cell>
          <cell r="BO97" t="str">
            <v>Child</v>
          </cell>
          <cell r="BQ97" t="str">
            <v>N</v>
          </cell>
          <cell r="BR97" t="str">
            <v>HHKidsOnly</v>
          </cell>
        </row>
        <row r="98">
          <cell r="C98" t="str">
            <v>Pomona</v>
          </cell>
          <cell r="E98" t="str">
            <v>Phastidious</v>
          </cell>
          <cell r="H98">
            <v>1</v>
          </cell>
          <cell r="I98">
            <v>38232</v>
          </cell>
          <cell r="J98">
            <v>1</v>
          </cell>
          <cell r="K98">
            <v>3</v>
          </cell>
          <cell r="M98">
            <v>0</v>
          </cell>
          <cell r="N98">
            <v>0</v>
          </cell>
          <cell r="X98" t="b">
            <v>0</v>
          </cell>
          <cell r="BG98">
            <v>0</v>
          </cell>
          <cell r="BK98">
            <v>0</v>
          </cell>
          <cell r="BL98">
            <v>2</v>
          </cell>
          <cell r="BN98">
            <v>4.6735112936344967</v>
          </cell>
          <cell r="BO98" t="str">
            <v>Child</v>
          </cell>
          <cell r="BQ98" t="str">
            <v>N</v>
          </cell>
          <cell r="BR98" t="str">
            <v>HHKidsOnly</v>
          </cell>
        </row>
        <row r="99">
          <cell r="C99" t="str">
            <v>Palma</v>
          </cell>
          <cell r="E99" t="str">
            <v>Pheast</v>
          </cell>
          <cell r="H99">
            <v>1</v>
          </cell>
          <cell r="I99">
            <v>36340</v>
          </cell>
          <cell r="K99">
            <v>3</v>
          </cell>
          <cell r="M99">
            <v>0</v>
          </cell>
          <cell r="N99">
            <v>0</v>
          </cell>
          <cell r="X99" t="b">
            <v>0</v>
          </cell>
          <cell r="BG99">
            <v>0</v>
          </cell>
          <cell r="BK99">
            <v>0</v>
          </cell>
          <cell r="BL99">
            <v>-89</v>
          </cell>
          <cell r="BN99">
            <v>9.2347707049965777</v>
          </cell>
          <cell r="BO99" t="str">
            <v>Child</v>
          </cell>
          <cell r="BQ99" t="str">
            <v>N</v>
          </cell>
          <cell r="BR99" t="e">
            <v>#N/A</v>
          </cell>
        </row>
        <row r="100">
          <cell r="C100" t="str">
            <v>Peter</v>
          </cell>
          <cell r="E100" t="str">
            <v>Pheature</v>
          </cell>
          <cell r="H100">
            <v>1</v>
          </cell>
          <cell r="I100">
            <v>20413</v>
          </cell>
          <cell r="J100">
            <v>1</v>
          </cell>
          <cell r="K100">
            <v>3</v>
          </cell>
          <cell r="M100">
            <v>0</v>
          </cell>
          <cell r="N100">
            <v>1</v>
          </cell>
          <cell r="X100" t="b">
            <v>0</v>
          </cell>
          <cell r="BG100">
            <v>0</v>
          </cell>
          <cell r="BK100">
            <v>1</v>
          </cell>
          <cell r="BL100">
            <v>86</v>
          </cell>
          <cell r="BN100">
            <v>53.672826830937716</v>
          </cell>
          <cell r="BO100" t="str">
            <v>Adult</v>
          </cell>
          <cell r="BQ100" t="str">
            <v>Y</v>
          </cell>
          <cell r="BR100" t="str">
            <v>HHNoKids</v>
          </cell>
        </row>
        <row r="101">
          <cell r="C101" t="str">
            <v>Philippa</v>
          </cell>
          <cell r="E101" t="str">
            <v>Phederal</v>
          </cell>
          <cell r="H101">
            <v>1</v>
          </cell>
          <cell r="I101">
            <v>21322</v>
          </cell>
          <cell r="J101">
            <v>1</v>
          </cell>
          <cell r="K101">
            <v>3</v>
          </cell>
          <cell r="M101">
            <v>0</v>
          </cell>
          <cell r="N101">
            <v>1</v>
          </cell>
          <cell r="X101" t="b">
            <v>0</v>
          </cell>
          <cell r="BG101">
            <v>0</v>
          </cell>
          <cell r="BK101">
            <v>1</v>
          </cell>
          <cell r="BL101">
            <v>183</v>
          </cell>
          <cell r="BN101">
            <v>51.041752224503767</v>
          </cell>
          <cell r="BO101" t="str">
            <v>Adult</v>
          </cell>
          <cell r="BQ101" t="str">
            <v>Y</v>
          </cell>
          <cell r="BR101" t="str">
            <v>HHNoKids</v>
          </cell>
        </row>
        <row r="102">
          <cell r="C102" t="str">
            <v>Phoebe</v>
          </cell>
          <cell r="E102" t="str">
            <v>Phederal</v>
          </cell>
          <cell r="H102">
            <v>1</v>
          </cell>
          <cell r="I102">
            <v>37302</v>
          </cell>
          <cell r="J102">
            <v>1</v>
          </cell>
          <cell r="K102">
            <v>3</v>
          </cell>
          <cell r="M102">
            <v>0</v>
          </cell>
          <cell r="N102">
            <v>1</v>
          </cell>
          <cell r="X102" t="b">
            <v>0</v>
          </cell>
          <cell r="BG102">
            <v>0</v>
          </cell>
          <cell r="BK102">
            <v>1</v>
          </cell>
          <cell r="BL102">
            <v>138</v>
          </cell>
          <cell r="BN102">
            <v>7.1430527036276521</v>
          </cell>
          <cell r="BO102" t="str">
            <v>Child</v>
          </cell>
          <cell r="BQ102" t="str">
            <v>N</v>
          </cell>
          <cell r="BR102" t="str">
            <v>HHKidsOnly</v>
          </cell>
        </row>
        <row r="103">
          <cell r="C103" t="str">
            <v>Purlina</v>
          </cell>
          <cell r="E103" t="str">
            <v>Pheedback</v>
          </cell>
          <cell r="H103">
            <v>1</v>
          </cell>
          <cell r="I103">
            <v>30693</v>
          </cell>
          <cell r="J103">
            <v>1</v>
          </cell>
          <cell r="K103">
            <v>3</v>
          </cell>
          <cell r="M103">
            <v>0</v>
          </cell>
          <cell r="N103">
            <v>0</v>
          </cell>
          <cell r="X103" t="b">
            <v>0</v>
          </cell>
          <cell r="BG103">
            <v>0</v>
          </cell>
          <cell r="BK103">
            <v>0</v>
          </cell>
          <cell r="BL103">
            <v>92</v>
          </cell>
          <cell r="BN103">
            <v>25.637234770704996</v>
          </cell>
          <cell r="BO103" t="str">
            <v>Adult</v>
          </cell>
          <cell r="BQ103" t="str">
            <v>Y</v>
          </cell>
          <cell r="BR103" t="str">
            <v>HHNoKids</v>
          </cell>
        </row>
        <row r="104">
          <cell r="C104" t="str">
            <v>Phuong</v>
          </cell>
          <cell r="E104" t="str">
            <v>Phelicitate</v>
          </cell>
          <cell r="H104">
            <v>1</v>
          </cell>
          <cell r="I104">
            <v>39463</v>
          </cell>
          <cell r="J104">
            <v>1</v>
          </cell>
          <cell r="K104">
            <v>3</v>
          </cell>
          <cell r="M104">
            <v>0</v>
          </cell>
          <cell r="N104">
            <v>0</v>
          </cell>
          <cell r="X104" t="b">
            <v>0</v>
          </cell>
          <cell r="BG104">
            <v>0</v>
          </cell>
          <cell r="BK104">
            <v>0</v>
          </cell>
          <cell r="BL104">
            <v>138</v>
          </cell>
          <cell r="BN104">
            <v>1.2265571526351813</v>
          </cell>
          <cell r="BO104" t="str">
            <v>Child</v>
          </cell>
          <cell r="BQ104" t="str">
            <v>N</v>
          </cell>
          <cell r="BR104" t="str">
            <v>HHKidsOnly</v>
          </cell>
        </row>
        <row r="105">
          <cell r="C105" t="str">
            <v>Petula</v>
          </cell>
          <cell r="E105" t="str">
            <v>Phestoon</v>
          </cell>
          <cell r="H105">
            <v>1</v>
          </cell>
          <cell r="I105">
            <v>23180</v>
          </cell>
          <cell r="J105">
            <v>1</v>
          </cell>
          <cell r="K105">
            <v>3</v>
          </cell>
          <cell r="M105">
            <v>0</v>
          </cell>
          <cell r="N105">
            <v>1</v>
          </cell>
          <cell r="X105" t="b">
            <v>0</v>
          </cell>
          <cell r="BG105">
            <v>0</v>
          </cell>
          <cell r="BK105">
            <v>1</v>
          </cell>
          <cell r="BL105">
            <v>-115</v>
          </cell>
          <cell r="BN105">
            <v>45.075975359342912</v>
          </cell>
          <cell r="BO105" t="str">
            <v>Adult</v>
          </cell>
          <cell r="BQ105" t="str">
            <v>Y</v>
          </cell>
          <cell r="BR105" t="e">
            <v>#N/A</v>
          </cell>
        </row>
        <row r="106">
          <cell r="C106" t="str">
            <v>Poppy</v>
          </cell>
          <cell r="E106" t="str">
            <v>Phidelity</v>
          </cell>
          <cell r="H106">
            <v>1</v>
          </cell>
          <cell r="I106">
            <v>39267</v>
          </cell>
          <cell r="J106">
            <v>1</v>
          </cell>
          <cell r="K106">
            <v>3</v>
          </cell>
          <cell r="M106">
            <v>0</v>
          </cell>
          <cell r="N106">
            <v>0</v>
          </cell>
          <cell r="X106" t="b">
            <v>0</v>
          </cell>
          <cell r="BG106">
            <v>0</v>
          </cell>
          <cell r="BK106">
            <v>0</v>
          </cell>
          <cell r="BL106">
            <v>2</v>
          </cell>
          <cell r="BN106">
            <v>1.839835728952772</v>
          </cell>
          <cell r="BO106" t="str">
            <v>Child</v>
          </cell>
          <cell r="BQ106" t="str">
            <v>N</v>
          </cell>
          <cell r="BR106" t="str">
            <v>HHKidsOnly</v>
          </cell>
        </row>
        <row r="107">
          <cell r="C107" t="str">
            <v>Burble</v>
          </cell>
          <cell r="E107" t="str">
            <v>Philament</v>
          </cell>
          <cell r="H107">
            <v>8</v>
          </cell>
          <cell r="I107">
            <v>21597</v>
          </cell>
          <cell r="J107">
            <v>1</v>
          </cell>
          <cell r="K107">
            <v>1</v>
          </cell>
          <cell r="M107">
            <v>1</v>
          </cell>
          <cell r="N107">
            <v>3</v>
          </cell>
          <cell r="X107" t="b">
            <v>0</v>
          </cell>
          <cell r="BG107">
            <v>0</v>
          </cell>
          <cell r="BK107">
            <v>3</v>
          </cell>
          <cell r="BL107">
            <v>49</v>
          </cell>
          <cell r="BN107">
            <v>50.401095140314851</v>
          </cell>
          <cell r="BO107" t="str">
            <v>Adult</v>
          </cell>
          <cell r="BQ107" t="str">
            <v>Y</v>
          </cell>
          <cell r="BR107" t="str">
            <v>HHNoKids</v>
          </cell>
        </row>
        <row r="108">
          <cell r="C108" t="str">
            <v>Salubrious</v>
          </cell>
          <cell r="E108" t="str">
            <v>Phillipian</v>
          </cell>
          <cell r="H108">
            <v>1</v>
          </cell>
          <cell r="I108">
            <v>26252</v>
          </cell>
          <cell r="J108">
            <v>1</v>
          </cell>
          <cell r="K108">
            <v>1</v>
          </cell>
          <cell r="M108">
            <v>0</v>
          </cell>
          <cell r="N108">
            <v>0</v>
          </cell>
          <cell r="X108" t="b">
            <v>0</v>
          </cell>
          <cell r="BG108">
            <v>0</v>
          </cell>
          <cell r="BK108">
            <v>0</v>
          </cell>
          <cell r="BL108">
            <v>186</v>
          </cell>
          <cell r="BN108">
            <v>37.508555783709788</v>
          </cell>
          <cell r="BO108" t="str">
            <v>Adult</v>
          </cell>
          <cell r="BQ108" t="str">
            <v>Y</v>
          </cell>
          <cell r="BR108" t="str">
            <v>HHNoKids</v>
          </cell>
        </row>
        <row r="109">
          <cell r="C109" t="str">
            <v>Palavi</v>
          </cell>
          <cell r="E109" t="str">
            <v>Phipps</v>
          </cell>
          <cell r="H109">
            <v>1</v>
          </cell>
          <cell r="I109">
            <v>31484</v>
          </cell>
          <cell r="J109">
            <v>1</v>
          </cell>
          <cell r="K109">
            <v>3</v>
          </cell>
          <cell r="M109">
            <v>0</v>
          </cell>
          <cell r="N109">
            <v>1</v>
          </cell>
          <cell r="X109" t="b">
            <v>0</v>
          </cell>
          <cell r="BG109">
            <v>0</v>
          </cell>
          <cell r="BK109">
            <v>1</v>
          </cell>
          <cell r="BL109">
            <v>23</v>
          </cell>
          <cell r="BN109">
            <v>23.742642026009584</v>
          </cell>
          <cell r="BO109" t="str">
            <v>Adult</v>
          </cell>
          <cell r="BQ109" t="str">
            <v>Y</v>
          </cell>
          <cell r="BR109" t="str">
            <v>HHNoKids</v>
          </cell>
        </row>
        <row r="110">
          <cell r="C110" t="str">
            <v>Polly</v>
          </cell>
          <cell r="E110" t="str">
            <v>Phlirtatious</v>
          </cell>
          <cell r="H110">
            <v>1</v>
          </cell>
          <cell r="I110">
            <v>33389</v>
          </cell>
          <cell r="J110">
            <v>1</v>
          </cell>
          <cell r="K110">
            <v>4</v>
          </cell>
          <cell r="M110">
            <v>0</v>
          </cell>
          <cell r="N110">
            <v>5</v>
          </cell>
          <cell r="X110" t="b">
            <v>0</v>
          </cell>
          <cell r="BG110">
            <v>0</v>
          </cell>
          <cell r="BK110">
            <v>5</v>
          </cell>
          <cell r="BL110">
            <v>35</v>
          </cell>
          <cell r="BN110">
            <v>17.78507871321013</v>
          </cell>
          <cell r="BO110" t="str">
            <v>Child</v>
          </cell>
          <cell r="BQ110" t="str">
            <v>N</v>
          </cell>
          <cell r="BR110" t="str">
            <v>HHKidsOnly</v>
          </cell>
        </row>
        <row r="111">
          <cell r="C111" t="str">
            <v>Phyre</v>
          </cell>
          <cell r="E111" t="str">
            <v>Phollicle</v>
          </cell>
          <cell r="H111">
            <v>1</v>
          </cell>
          <cell r="I111">
            <v>38750</v>
          </cell>
          <cell r="J111">
            <v>1</v>
          </cell>
          <cell r="K111">
            <v>3</v>
          </cell>
          <cell r="M111">
            <v>0</v>
          </cell>
          <cell r="N111">
            <v>0</v>
          </cell>
          <cell r="X111" t="b">
            <v>0</v>
          </cell>
          <cell r="BG111">
            <v>0</v>
          </cell>
          <cell r="BK111">
            <v>0</v>
          </cell>
          <cell r="BL111">
            <v>61</v>
          </cell>
          <cell r="BN111">
            <v>3.6632443531827517</v>
          </cell>
          <cell r="BO111" t="str">
            <v>Child</v>
          </cell>
          <cell r="BQ111" t="str">
            <v>N</v>
          </cell>
          <cell r="BR111" t="str">
            <v>HHKidsOnly</v>
          </cell>
        </row>
        <row r="112">
          <cell r="C112" t="str">
            <v>Ana</v>
          </cell>
          <cell r="E112" t="str">
            <v>Phorearm</v>
          </cell>
          <cell r="H112">
            <v>1</v>
          </cell>
          <cell r="I112">
            <v>30763</v>
          </cell>
          <cell r="K112">
            <v>5</v>
          </cell>
          <cell r="M112">
            <v>0</v>
          </cell>
          <cell r="N112">
            <v>1</v>
          </cell>
          <cell r="X112" t="b">
            <v>0</v>
          </cell>
          <cell r="BG112">
            <v>0</v>
          </cell>
          <cell r="BK112">
            <v>1</v>
          </cell>
          <cell r="BL112">
            <v>84</v>
          </cell>
          <cell r="BN112">
            <v>25.54962354551677</v>
          </cell>
          <cell r="BO112" t="str">
            <v>Adult</v>
          </cell>
          <cell r="BQ112" t="str">
            <v>Y</v>
          </cell>
          <cell r="BR112" t="str">
            <v>HHNoKids</v>
          </cell>
        </row>
        <row r="113">
          <cell r="C113" t="str">
            <v>Pleasance</v>
          </cell>
          <cell r="E113" t="str">
            <v>Phoreign</v>
          </cell>
          <cell r="H113">
            <v>1</v>
          </cell>
          <cell r="I113">
            <v>28618</v>
          </cell>
          <cell r="J113">
            <v>1</v>
          </cell>
          <cell r="K113">
            <v>3</v>
          </cell>
          <cell r="M113">
            <v>0</v>
          </cell>
          <cell r="N113">
            <v>0</v>
          </cell>
          <cell r="X113" t="b">
            <v>0</v>
          </cell>
          <cell r="BG113">
            <v>0</v>
          </cell>
          <cell r="BK113">
            <v>0</v>
          </cell>
          <cell r="BL113">
            <v>2</v>
          </cell>
          <cell r="BN113">
            <v>30.99520876112252</v>
          </cell>
          <cell r="BO113" t="str">
            <v>Adult</v>
          </cell>
          <cell r="BQ113" t="str">
            <v>Y</v>
          </cell>
          <cell r="BR113" t="str">
            <v>HHNoKids</v>
          </cell>
        </row>
        <row r="114">
          <cell r="C114" t="str">
            <v>Pola</v>
          </cell>
          <cell r="E114" t="str">
            <v>Phormality</v>
          </cell>
          <cell r="H114">
            <v>1</v>
          </cell>
          <cell r="I114">
            <v>36031</v>
          </cell>
          <cell r="J114">
            <v>1</v>
          </cell>
          <cell r="K114">
            <v>3</v>
          </cell>
          <cell r="M114">
            <v>0</v>
          </cell>
          <cell r="N114">
            <v>0</v>
          </cell>
          <cell r="X114" t="b">
            <v>0</v>
          </cell>
          <cell r="BG114">
            <v>0</v>
          </cell>
          <cell r="BK114">
            <v>0</v>
          </cell>
          <cell r="BL114">
            <v>2</v>
          </cell>
          <cell r="BN114">
            <v>10.699520876112253</v>
          </cell>
          <cell r="BO114" t="str">
            <v>Child</v>
          </cell>
          <cell r="BQ114" t="str">
            <v>N</v>
          </cell>
          <cell r="BR114" t="str">
            <v>HHKidsOnly</v>
          </cell>
        </row>
        <row r="115">
          <cell r="C115" t="str">
            <v>Pascha</v>
          </cell>
          <cell r="E115" t="str">
            <v>Picard</v>
          </cell>
          <cell r="H115">
            <v>1</v>
          </cell>
          <cell r="I115">
            <v>1</v>
          </cell>
          <cell r="J115">
            <v>9</v>
          </cell>
          <cell r="K115">
            <v>3</v>
          </cell>
          <cell r="M115">
            <v>0</v>
          </cell>
          <cell r="N115">
            <v>1</v>
          </cell>
          <cell r="X115" t="b">
            <v>0</v>
          </cell>
          <cell r="BG115">
            <v>0</v>
          </cell>
          <cell r="BK115">
            <v>1</v>
          </cell>
          <cell r="BL115">
            <v>40</v>
          </cell>
          <cell r="BN115">
            <v>109.27036276522929</v>
          </cell>
          <cell r="BO115" t="str">
            <v>Adult</v>
          </cell>
          <cell r="BQ115" t="str">
            <v>Y</v>
          </cell>
          <cell r="BR115" t="str">
            <v>HHNoKids</v>
          </cell>
        </row>
        <row r="116">
          <cell r="C116" t="str">
            <v>Pauletta</v>
          </cell>
          <cell r="E116" t="str">
            <v>Pichler</v>
          </cell>
          <cell r="H116">
            <v>8</v>
          </cell>
          <cell r="I116">
            <v>34851</v>
          </cell>
          <cell r="J116">
            <v>1</v>
          </cell>
          <cell r="K116">
            <v>1</v>
          </cell>
          <cell r="L116">
            <v>2</v>
          </cell>
          <cell r="M116">
            <v>0</v>
          </cell>
          <cell r="N116">
            <v>0</v>
          </cell>
          <cell r="X116" t="b">
            <v>0</v>
          </cell>
          <cell r="BG116">
            <v>0</v>
          </cell>
          <cell r="BK116">
            <v>0</v>
          </cell>
          <cell r="BL116">
            <v>186</v>
          </cell>
          <cell r="BN116">
            <v>13.96577686516085</v>
          </cell>
          <cell r="BO116" t="str">
            <v>Child</v>
          </cell>
          <cell r="BQ116" t="str">
            <v>N</v>
          </cell>
          <cell r="BR116" t="str">
            <v>HHKidsOnly</v>
          </cell>
        </row>
        <row r="117">
          <cell r="C117" t="str">
            <v>Paloma</v>
          </cell>
          <cell r="E117" t="str">
            <v>Picker</v>
          </cell>
          <cell r="H117">
            <v>1</v>
          </cell>
          <cell r="I117">
            <v>35474</v>
          </cell>
          <cell r="K117">
            <v>3</v>
          </cell>
          <cell r="M117">
            <v>0</v>
          </cell>
          <cell r="N117">
            <v>1</v>
          </cell>
          <cell r="X117" t="b">
            <v>0</v>
          </cell>
          <cell r="BG117">
            <v>0</v>
          </cell>
          <cell r="BK117">
            <v>1</v>
          </cell>
          <cell r="BL117">
            <v>-89</v>
          </cell>
          <cell r="BN117">
            <v>11.605749486652977</v>
          </cell>
          <cell r="BO117" t="str">
            <v>Child</v>
          </cell>
          <cell r="BQ117" t="str">
            <v>N</v>
          </cell>
          <cell r="BR117" t="e">
            <v>#N/A</v>
          </cell>
        </row>
        <row r="118">
          <cell r="C118" t="str">
            <v>Paul</v>
          </cell>
          <cell r="E118" t="str">
            <v>Plaisance</v>
          </cell>
          <cell r="H118">
            <v>1</v>
          </cell>
          <cell r="I118">
            <v>28403</v>
          </cell>
          <cell r="J118">
            <v>1</v>
          </cell>
          <cell r="K118">
            <v>5</v>
          </cell>
          <cell r="M118">
            <v>0</v>
          </cell>
          <cell r="N118">
            <v>0</v>
          </cell>
          <cell r="X118" t="b">
            <v>0</v>
          </cell>
          <cell r="BG118">
            <v>0</v>
          </cell>
          <cell r="BK118">
            <v>0</v>
          </cell>
          <cell r="BL118">
            <v>72</v>
          </cell>
          <cell r="BN118">
            <v>31.885010266940451</v>
          </cell>
          <cell r="BO118" t="str">
            <v>Adult</v>
          </cell>
          <cell r="BQ118" t="str">
            <v>Y</v>
          </cell>
          <cell r="BR118" t="str">
            <v>HHNoKids</v>
          </cell>
        </row>
        <row r="119">
          <cell r="C119" t="str">
            <v>Jane</v>
          </cell>
          <cell r="E119" t="str">
            <v>Plath</v>
          </cell>
          <cell r="H119">
            <v>1</v>
          </cell>
          <cell r="I119">
            <v>24825</v>
          </cell>
          <cell r="J119">
            <v>1</v>
          </cell>
          <cell r="K119">
            <v>3</v>
          </cell>
          <cell r="M119">
            <v>0</v>
          </cell>
          <cell r="N119">
            <v>1</v>
          </cell>
          <cell r="X119" t="b">
            <v>0</v>
          </cell>
          <cell r="BG119">
            <v>0</v>
          </cell>
          <cell r="BK119">
            <v>1</v>
          </cell>
          <cell r="BL119">
            <v>-33</v>
          </cell>
          <cell r="BN119">
            <v>40.818617385352496</v>
          </cell>
          <cell r="BO119" t="str">
            <v>Adult</v>
          </cell>
          <cell r="BQ119" t="str">
            <v>Y</v>
          </cell>
          <cell r="BR119" t="e">
            <v>#N/A</v>
          </cell>
        </row>
        <row r="120">
          <cell r="C120" t="str">
            <v>Diamond</v>
          </cell>
          <cell r="E120" t="str">
            <v>Plimpton</v>
          </cell>
          <cell r="H120">
            <v>1</v>
          </cell>
          <cell r="I120">
            <v>16964</v>
          </cell>
          <cell r="J120">
            <v>1</v>
          </cell>
          <cell r="K120">
            <v>5</v>
          </cell>
          <cell r="M120">
            <v>0</v>
          </cell>
          <cell r="N120">
            <v>1</v>
          </cell>
          <cell r="X120" t="b">
            <v>0</v>
          </cell>
          <cell r="BG120">
            <v>1</v>
          </cell>
          <cell r="BK120">
            <v>1</v>
          </cell>
          <cell r="BL120">
            <v>329</v>
          </cell>
          <cell r="BN120">
            <v>62.658453114305267</v>
          </cell>
          <cell r="BO120" t="str">
            <v>Adult</v>
          </cell>
          <cell r="BQ120" t="str">
            <v>Y</v>
          </cell>
          <cell r="BR120" t="str">
            <v>HHNoKids</v>
          </cell>
        </row>
        <row r="121">
          <cell r="C121" t="str">
            <v>Copper</v>
          </cell>
          <cell r="E121" t="str">
            <v>Plumb</v>
          </cell>
          <cell r="H121">
            <v>1</v>
          </cell>
          <cell r="I121">
            <v>23051</v>
          </cell>
          <cell r="J121">
            <v>1</v>
          </cell>
          <cell r="K121">
            <v>1</v>
          </cell>
          <cell r="M121">
            <v>0</v>
          </cell>
          <cell r="N121">
            <v>1</v>
          </cell>
          <cell r="X121" t="b">
            <v>0</v>
          </cell>
          <cell r="BG121">
            <v>0</v>
          </cell>
          <cell r="BK121">
            <v>1</v>
          </cell>
          <cell r="BL121">
            <v>21</v>
          </cell>
          <cell r="BN121">
            <v>46.335386721423681</v>
          </cell>
          <cell r="BO121" t="str">
            <v>Adult</v>
          </cell>
          <cell r="BQ121" t="str">
            <v>Y</v>
          </cell>
          <cell r="BR121" t="str">
            <v>HHNoKids</v>
          </cell>
        </row>
        <row r="122">
          <cell r="C122" t="str">
            <v>Olive</v>
          </cell>
          <cell r="E122" t="str">
            <v>Poe</v>
          </cell>
          <cell r="H122">
            <v>1</v>
          </cell>
          <cell r="I122">
            <v>33626</v>
          </cell>
          <cell r="J122">
            <v>1</v>
          </cell>
          <cell r="K122">
            <v>4</v>
          </cell>
          <cell r="M122">
            <v>1</v>
          </cell>
          <cell r="N122">
            <v>0</v>
          </cell>
          <cell r="X122" t="b">
            <v>0</v>
          </cell>
          <cell r="BG122">
            <v>0</v>
          </cell>
          <cell r="BK122">
            <v>0</v>
          </cell>
          <cell r="BL122">
            <v>103</v>
          </cell>
          <cell r="BN122">
            <v>17.281314168377822</v>
          </cell>
          <cell r="BO122" t="str">
            <v>Child</v>
          </cell>
          <cell r="BQ122" t="str">
            <v>N</v>
          </cell>
          <cell r="BR122" t="str">
            <v>HHKidsOnly</v>
          </cell>
        </row>
        <row r="123">
          <cell r="C123" t="str">
            <v>Patchouli</v>
          </cell>
          <cell r="E123" t="str">
            <v>Pogue</v>
          </cell>
          <cell r="H123">
            <v>1</v>
          </cell>
          <cell r="I123">
            <v>17988</v>
          </cell>
          <cell r="J123">
            <v>1</v>
          </cell>
          <cell r="K123">
            <v>3</v>
          </cell>
          <cell r="M123">
            <v>0</v>
          </cell>
          <cell r="N123">
            <v>1</v>
          </cell>
          <cell r="X123" t="b">
            <v>0</v>
          </cell>
          <cell r="BG123">
            <v>0</v>
          </cell>
          <cell r="BK123">
            <v>1</v>
          </cell>
          <cell r="BL123">
            <v>-98</v>
          </cell>
          <cell r="BN123">
            <v>59.200547570157426</v>
          </cell>
          <cell r="BO123" t="str">
            <v>Adult</v>
          </cell>
          <cell r="BQ123" t="str">
            <v>Y</v>
          </cell>
          <cell r="BR123" t="e">
            <v>#N/A</v>
          </cell>
        </row>
        <row r="124">
          <cell r="C124" t="str">
            <v>Pirro</v>
          </cell>
          <cell r="E124" t="str">
            <v>Poindexter</v>
          </cell>
          <cell r="H124">
            <v>8</v>
          </cell>
          <cell r="I124">
            <v>35857</v>
          </cell>
          <cell r="J124">
            <v>1</v>
          </cell>
          <cell r="K124">
            <v>3</v>
          </cell>
          <cell r="M124">
            <v>0</v>
          </cell>
          <cell r="N124">
            <v>1</v>
          </cell>
          <cell r="X124" t="b">
            <v>0</v>
          </cell>
          <cell r="BG124">
            <v>0</v>
          </cell>
          <cell r="BK124">
            <v>1</v>
          </cell>
          <cell r="BL124">
            <v>77</v>
          </cell>
          <cell r="BN124">
            <v>10.839151266255989</v>
          </cell>
          <cell r="BO124" t="str">
            <v>Child</v>
          </cell>
          <cell r="BQ124" t="str">
            <v>N</v>
          </cell>
          <cell r="BR124" t="str">
            <v>HHKidsOnly</v>
          </cell>
        </row>
        <row r="125">
          <cell r="C125" t="str">
            <v>Phaedra</v>
          </cell>
          <cell r="E125" t="str">
            <v>Pound</v>
          </cell>
          <cell r="H125">
            <v>8</v>
          </cell>
          <cell r="I125">
            <v>34413</v>
          </cell>
          <cell r="K125">
            <v>3</v>
          </cell>
          <cell r="M125">
            <v>0</v>
          </cell>
          <cell r="N125">
            <v>1</v>
          </cell>
          <cell r="X125" t="b">
            <v>0</v>
          </cell>
          <cell r="BG125">
            <v>0</v>
          </cell>
          <cell r="BK125">
            <v>1</v>
          </cell>
          <cell r="BL125">
            <v>-121</v>
          </cell>
          <cell r="BN125">
            <v>14.414784394250514</v>
          </cell>
          <cell r="BO125" t="str">
            <v>Child</v>
          </cell>
          <cell r="BQ125" t="str">
            <v>N</v>
          </cell>
          <cell r="BR125" t="e">
            <v>#N/A</v>
          </cell>
        </row>
        <row r="126">
          <cell r="C126" t="str">
            <v>Periwinkle</v>
          </cell>
          <cell r="E126" t="str">
            <v>Pound</v>
          </cell>
          <cell r="H126">
            <v>1</v>
          </cell>
          <cell r="I126">
            <v>29445</v>
          </cell>
          <cell r="J126">
            <v>1</v>
          </cell>
          <cell r="K126">
            <v>5</v>
          </cell>
          <cell r="M126">
            <v>0</v>
          </cell>
          <cell r="N126">
            <v>1</v>
          </cell>
          <cell r="X126" t="b">
            <v>0</v>
          </cell>
          <cell r="BG126">
            <v>0</v>
          </cell>
          <cell r="BK126">
            <v>1</v>
          </cell>
          <cell r="BL126">
            <v>29</v>
          </cell>
          <cell r="BN126">
            <v>29.308692676249144</v>
          </cell>
          <cell r="BO126" t="str">
            <v>Adult</v>
          </cell>
          <cell r="BQ126" t="str">
            <v>Y</v>
          </cell>
          <cell r="BR126" t="str">
            <v>HHNoKids</v>
          </cell>
        </row>
        <row r="127">
          <cell r="C127" t="str">
            <v>Orange</v>
          </cell>
          <cell r="E127" t="str">
            <v>Pracht</v>
          </cell>
          <cell r="H127">
            <v>1</v>
          </cell>
          <cell r="I127">
            <v>25610</v>
          </cell>
          <cell r="J127">
            <v>1</v>
          </cell>
          <cell r="K127">
            <v>3</v>
          </cell>
          <cell r="M127">
            <v>0</v>
          </cell>
          <cell r="N127">
            <v>1</v>
          </cell>
          <cell r="X127" t="b">
            <v>0</v>
          </cell>
          <cell r="BG127">
            <v>0</v>
          </cell>
          <cell r="BK127">
            <v>1</v>
          </cell>
          <cell r="BL127">
            <v>70</v>
          </cell>
          <cell r="BN127">
            <v>39.197809719370291</v>
          </cell>
          <cell r="BO127" t="str">
            <v>Adult</v>
          </cell>
          <cell r="BQ127" t="str">
            <v>Y</v>
          </cell>
          <cell r="BR127" t="str">
            <v>HHNoKids</v>
          </cell>
        </row>
        <row r="128">
          <cell r="C128" t="str">
            <v>Palacia</v>
          </cell>
          <cell r="E128" t="str">
            <v>Prather</v>
          </cell>
          <cell r="H128">
            <v>1</v>
          </cell>
          <cell r="I128">
            <v>20635</v>
          </cell>
          <cell r="J128">
            <v>1</v>
          </cell>
          <cell r="K128">
            <v>5</v>
          </cell>
          <cell r="M128">
            <v>0</v>
          </cell>
          <cell r="N128">
            <v>1</v>
          </cell>
          <cell r="X128" t="b">
            <v>0</v>
          </cell>
          <cell r="BG128">
            <v>0</v>
          </cell>
          <cell r="BK128">
            <v>1</v>
          </cell>
          <cell r="BL128">
            <v>145</v>
          </cell>
          <cell r="BN128">
            <v>53.111567419575636</v>
          </cell>
          <cell r="BO128" t="str">
            <v>Adult</v>
          </cell>
          <cell r="BQ128" t="str">
            <v>Y</v>
          </cell>
          <cell r="BR128" t="str">
            <v>HHNoKids</v>
          </cell>
        </row>
        <row r="129">
          <cell r="C129" t="str">
            <v>Perez</v>
          </cell>
          <cell r="E129" t="str">
            <v>Prentice</v>
          </cell>
          <cell r="H129">
            <v>1</v>
          </cell>
          <cell r="I129">
            <v>19485</v>
          </cell>
          <cell r="J129">
            <v>1</v>
          </cell>
          <cell r="K129">
            <v>5</v>
          </cell>
          <cell r="M129">
            <v>0</v>
          </cell>
          <cell r="N129">
            <v>0</v>
          </cell>
          <cell r="X129" t="b">
            <v>0</v>
          </cell>
          <cell r="BG129">
            <v>0</v>
          </cell>
          <cell r="BK129">
            <v>0</v>
          </cell>
          <cell r="BL129">
            <v>29</v>
          </cell>
          <cell r="BN129">
            <v>56.577686516084874</v>
          </cell>
          <cell r="BO129" t="str">
            <v>Adult</v>
          </cell>
          <cell r="BQ129" t="str">
            <v>Y</v>
          </cell>
          <cell r="BR129" t="str">
            <v>HHNoKids</v>
          </cell>
        </row>
        <row r="130">
          <cell r="C130" t="str">
            <v>Phailin</v>
          </cell>
          <cell r="E130" t="str">
            <v>Price</v>
          </cell>
          <cell r="H130">
            <v>1</v>
          </cell>
          <cell r="I130">
            <v>26689</v>
          </cell>
          <cell r="J130">
            <v>1</v>
          </cell>
          <cell r="K130">
            <v>3</v>
          </cell>
          <cell r="M130">
            <v>0</v>
          </cell>
          <cell r="N130">
            <v>0</v>
          </cell>
          <cell r="X130" t="b">
            <v>0</v>
          </cell>
          <cell r="BG130">
            <v>0</v>
          </cell>
          <cell r="BK130">
            <v>0</v>
          </cell>
          <cell r="BL130">
            <v>69</v>
          </cell>
          <cell r="BN130">
            <v>36.030116358658454</v>
          </cell>
          <cell r="BO130" t="str">
            <v>Adult</v>
          </cell>
          <cell r="BQ130" t="str">
            <v>Y</v>
          </cell>
          <cell r="BR130" t="str">
            <v>HHNoKids</v>
          </cell>
        </row>
        <row r="131">
          <cell r="C131" t="str">
            <v>Larry</v>
          </cell>
          <cell r="E131" t="str">
            <v>Pridemore</v>
          </cell>
          <cell r="H131">
            <v>1</v>
          </cell>
          <cell r="I131">
            <v>20369</v>
          </cell>
          <cell r="J131">
            <v>1</v>
          </cell>
          <cell r="K131">
            <v>3</v>
          </cell>
          <cell r="M131">
            <v>0</v>
          </cell>
          <cell r="N131">
            <v>1</v>
          </cell>
          <cell r="X131" t="b">
            <v>0</v>
          </cell>
          <cell r="BG131">
            <v>0</v>
          </cell>
          <cell r="BK131">
            <v>1</v>
          </cell>
          <cell r="BL131">
            <v>89</v>
          </cell>
          <cell r="BN131">
            <v>53.557837097878163</v>
          </cell>
          <cell r="BO131" t="str">
            <v>Adult</v>
          </cell>
          <cell r="BQ131" t="str">
            <v>Y</v>
          </cell>
          <cell r="BR131" t="str">
            <v>HHNoKids</v>
          </cell>
        </row>
        <row r="132">
          <cell r="C132" t="str">
            <v>Phiala</v>
          </cell>
          <cell r="E132" t="str">
            <v>Priestley</v>
          </cell>
          <cell r="H132">
            <v>1</v>
          </cell>
          <cell r="I132">
            <v>20961</v>
          </cell>
          <cell r="J132">
            <v>1</v>
          </cell>
          <cell r="K132">
            <v>3</v>
          </cell>
          <cell r="M132">
            <v>0</v>
          </cell>
          <cell r="N132">
            <v>1</v>
          </cell>
          <cell r="X132" t="b">
            <v>0</v>
          </cell>
          <cell r="BG132">
            <v>0</v>
          </cell>
          <cell r="BK132">
            <v>1</v>
          </cell>
          <cell r="BL132">
            <v>69</v>
          </cell>
          <cell r="BN132">
            <v>51.71252566735113</v>
          </cell>
          <cell r="BO132" t="str">
            <v>Adult</v>
          </cell>
          <cell r="BQ132" t="str">
            <v>Y</v>
          </cell>
          <cell r="BR132" t="str">
            <v>HHNoKids</v>
          </cell>
        </row>
        <row r="133">
          <cell r="C133" t="str">
            <v>Phila</v>
          </cell>
          <cell r="E133" t="str">
            <v>Prince</v>
          </cell>
          <cell r="H133">
            <v>1</v>
          </cell>
          <cell r="I133">
            <v>35279</v>
          </cell>
          <cell r="J133">
            <v>1</v>
          </cell>
          <cell r="K133">
            <v>3</v>
          </cell>
          <cell r="M133">
            <v>0</v>
          </cell>
          <cell r="N133">
            <v>1</v>
          </cell>
          <cell r="X133" t="b">
            <v>0</v>
          </cell>
          <cell r="BG133">
            <v>0</v>
          </cell>
          <cell r="BK133">
            <v>1</v>
          </cell>
          <cell r="BL133">
            <v>69</v>
          </cell>
          <cell r="BN133">
            <v>12.511978097193703</v>
          </cell>
          <cell r="BO133" t="str">
            <v>Child</v>
          </cell>
          <cell r="BQ133" t="str">
            <v>N</v>
          </cell>
          <cell r="BR133" t="str">
            <v>HHKidsOnly</v>
          </cell>
        </row>
        <row r="134">
          <cell r="C134" t="str">
            <v>Philantha</v>
          </cell>
          <cell r="E134" t="str">
            <v>Pritchard</v>
          </cell>
          <cell r="H134">
            <v>1</v>
          </cell>
          <cell r="I134">
            <v>37031</v>
          </cell>
          <cell r="J134">
            <v>1</v>
          </cell>
          <cell r="K134">
            <v>3</v>
          </cell>
          <cell r="M134">
            <v>0</v>
          </cell>
          <cell r="N134">
            <v>1</v>
          </cell>
          <cell r="X134" t="b">
            <v>0</v>
          </cell>
          <cell r="BG134">
            <v>0</v>
          </cell>
          <cell r="BK134">
            <v>1</v>
          </cell>
          <cell r="BL134">
            <v>69</v>
          </cell>
          <cell r="BN134">
            <v>7.7152635181382614</v>
          </cell>
          <cell r="BO134" t="str">
            <v>Child</v>
          </cell>
          <cell r="BQ134" t="str">
            <v>N</v>
          </cell>
          <cell r="BR134" t="str">
            <v>HHKidsOnly</v>
          </cell>
        </row>
        <row r="135">
          <cell r="C135" t="str">
            <v>Pentium</v>
          </cell>
          <cell r="E135" t="str">
            <v>Protract</v>
          </cell>
          <cell r="H135">
            <v>1</v>
          </cell>
          <cell r="I135">
            <v>37169</v>
          </cell>
          <cell r="J135">
            <v>1</v>
          </cell>
          <cell r="K135">
            <v>3</v>
          </cell>
          <cell r="M135">
            <v>0</v>
          </cell>
          <cell r="N135">
            <v>0</v>
          </cell>
          <cell r="X135" t="b">
            <v>0</v>
          </cell>
          <cell r="BG135">
            <v>0</v>
          </cell>
          <cell r="BK135">
            <v>0</v>
          </cell>
          <cell r="BL135">
            <v>93</v>
          </cell>
          <cell r="BN135">
            <v>7.8658453114305269</v>
          </cell>
          <cell r="BO135" t="str">
            <v>Child</v>
          </cell>
          <cell r="BQ135" t="str">
            <v>N</v>
          </cell>
          <cell r="BR135" t="str">
            <v>HHKidsOnly</v>
          </cell>
        </row>
        <row r="136">
          <cell r="C136" t="str">
            <v>Pat</v>
          </cell>
          <cell r="E136" t="str">
            <v>Proverbial</v>
          </cell>
          <cell r="H136">
            <v>1</v>
          </cell>
          <cell r="I136">
            <v>36371</v>
          </cell>
          <cell r="J136">
            <v>1</v>
          </cell>
          <cell r="K136">
            <v>5</v>
          </cell>
          <cell r="M136">
            <v>0</v>
          </cell>
          <cell r="N136">
            <v>1</v>
          </cell>
          <cell r="X136" t="b">
            <v>0</v>
          </cell>
          <cell r="BG136">
            <v>0</v>
          </cell>
          <cell r="BK136">
            <v>1</v>
          </cell>
          <cell r="BL136">
            <v>85</v>
          </cell>
          <cell r="BN136">
            <v>10.061601642710473</v>
          </cell>
          <cell r="BO136" t="str">
            <v>Child</v>
          </cell>
          <cell r="BQ136" t="str">
            <v>N</v>
          </cell>
          <cell r="BR136" t="str">
            <v>HHKidsOnly</v>
          </cell>
        </row>
        <row r="137">
          <cell r="C137" t="str">
            <v>Athlon</v>
          </cell>
          <cell r="E137" t="str">
            <v>Providence</v>
          </cell>
          <cell r="H137">
            <v>1</v>
          </cell>
          <cell r="I137">
            <v>34688</v>
          </cell>
          <cell r="J137">
            <v>1</v>
          </cell>
          <cell r="K137">
            <v>3</v>
          </cell>
          <cell r="M137">
            <v>0</v>
          </cell>
          <cell r="N137">
            <v>0</v>
          </cell>
          <cell r="X137" t="b">
            <v>0</v>
          </cell>
          <cell r="BG137">
            <v>0</v>
          </cell>
          <cell r="BK137">
            <v>0</v>
          </cell>
          <cell r="BL137">
            <v>93</v>
          </cell>
          <cell r="BN137">
            <v>14.658453114305271</v>
          </cell>
          <cell r="BO137" t="str">
            <v>Child</v>
          </cell>
          <cell r="BQ137" t="str">
            <v>N</v>
          </cell>
          <cell r="BR137" t="str">
            <v>HHKidsOnly</v>
          </cell>
        </row>
        <row r="138">
          <cell r="C138" t="str">
            <v>Guava</v>
          </cell>
          <cell r="E138" t="str">
            <v>Provocation</v>
          </cell>
          <cell r="H138">
            <v>1</v>
          </cell>
          <cell r="I138">
            <v>35785</v>
          </cell>
          <cell r="J138">
            <v>1</v>
          </cell>
          <cell r="K138">
            <v>3</v>
          </cell>
          <cell r="M138">
            <v>0</v>
          </cell>
          <cell r="N138">
            <v>1</v>
          </cell>
          <cell r="X138" t="b">
            <v>0</v>
          </cell>
          <cell r="BG138">
            <v>0</v>
          </cell>
          <cell r="BK138">
            <v>1</v>
          </cell>
          <cell r="BL138">
            <v>-121</v>
          </cell>
          <cell r="BN138">
            <v>10.658453114305271</v>
          </cell>
          <cell r="BO138" t="str">
            <v>Child</v>
          </cell>
          <cell r="BQ138" t="str">
            <v>N</v>
          </cell>
          <cell r="BR138" t="e">
            <v>#N/A</v>
          </cell>
        </row>
        <row r="139">
          <cell r="C139" t="str">
            <v>Passion</v>
          </cell>
          <cell r="E139" t="str">
            <v>Prowl</v>
          </cell>
          <cell r="H139">
            <v>1</v>
          </cell>
          <cell r="I139">
            <v>27135</v>
          </cell>
          <cell r="K139">
            <v>3</v>
          </cell>
          <cell r="M139">
            <v>0</v>
          </cell>
          <cell r="N139">
            <v>1</v>
          </cell>
          <cell r="X139" t="b">
            <v>0</v>
          </cell>
          <cell r="BG139">
            <v>0</v>
          </cell>
          <cell r="BK139">
            <v>1</v>
          </cell>
          <cell r="BL139">
            <v>-89</v>
          </cell>
          <cell r="BN139">
            <v>34.436687200547567</v>
          </cell>
          <cell r="BO139" t="str">
            <v>Adult</v>
          </cell>
          <cell r="BQ139" t="str">
            <v>Y</v>
          </cell>
          <cell r="BR139" t="e">
            <v>#N/A</v>
          </cell>
        </row>
        <row r="140">
          <cell r="C140" t="str">
            <v>Kiwi</v>
          </cell>
          <cell r="E140" t="str">
            <v>Pryce</v>
          </cell>
          <cell r="H140">
            <v>1</v>
          </cell>
          <cell r="I140">
            <v>31606</v>
          </cell>
          <cell r="J140">
            <v>1</v>
          </cell>
          <cell r="K140">
            <v>3</v>
          </cell>
          <cell r="M140">
            <v>0</v>
          </cell>
          <cell r="N140">
            <v>1</v>
          </cell>
          <cell r="X140" t="b">
            <v>0</v>
          </cell>
          <cell r="BG140">
            <v>0</v>
          </cell>
          <cell r="BK140">
            <v>1</v>
          </cell>
          <cell r="BL140">
            <v>61</v>
          </cell>
          <cell r="BN140">
            <v>23.222450376454482</v>
          </cell>
          <cell r="BO140" t="str">
            <v>Adult</v>
          </cell>
          <cell r="BQ140" t="str">
            <v>Y</v>
          </cell>
          <cell r="BR140" t="str">
            <v>HHNoKids</v>
          </cell>
        </row>
        <row r="141">
          <cell r="C141" t="str">
            <v>Paschale</v>
          </cell>
          <cell r="E141" t="str">
            <v>Psychic</v>
          </cell>
          <cell r="H141">
            <v>1</v>
          </cell>
          <cell r="I141">
            <v>20777</v>
          </cell>
          <cell r="J141">
            <v>1</v>
          </cell>
          <cell r="K141">
            <v>1</v>
          </cell>
          <cell r="L141">
            <v>5</v>
          </cell>
          <cell r="M141">
            <v>0</v>
          </cell>
          <cell r="N141">
            <v>0</v>
          </cell>
          <cell r="X141" t="b">
            <v>0</v>
          </cell>
          <cell r="BG141">
            <v>0</v>
          </cell>
          <cell r="BK141">
            <v>0</v>
          </cell>
          <cell r="BL141">
            <v>85</v>
          </cell>
          <cell r="BN141">
            <v>52.755646817248461</v>
          </cell>
          <cell r="BO141" t="str">
            <v>Adult</v>
          </cell>
          <cell r="BQ141" t="str">
            <v>Y</v>
          </cell>
          <cell r="BR141" t="str">
            <v>HHNoKids</v>
          </cell>
        </row>
        <row r="142">
          <cell r="C142" t="str">
            <v>Prue</v>
          </cell>
          <cell r="E142" t="str">
            <v>Puerto</v>
          </cell>
          <cell r="H142">
            <v>1</v>
          </cell>
          <cell r="I142">
            <v>19850</v>
          </cell>
          <cell r="J142">
            <v>1</v>
          </cell>
          <cell r="K142">
            <v>3</v>
          </cell>
          <cell r="M142">
            <v>0</v>
          </cell>
          <cell r="N142">
            <v>1</v>
          </cell>
          <cell r="X142" t="b">
            <v>0</v>
          </cell>
          <cell r="BG142">
            <v>0</v>
          </cell>
          <cell r="BK142">
            <v>1</v>
          </cell>
          <cell r="BL142">
            <v>-13</v>
          </cell>
          <cell r="BN142">
            <v>54.505133470225871</v>
          </cell>
          <cell r="BO142" t="str">
            <v>Adult</v>
          </cell>
          <cell r="BQ142" t="str">
            <v>Y</v>
          </cell>
          <cell r="BR142" t="e">
            <v>#N/A</v>
          </cell>
        </row>
        <row r="143">
          <cell r="C143" t="str">
            <v>Pilar</v>
          </cell>
          <cell r="E143" t="str">
            <v>Pulverize</v>
          </cell>
          <cell r="H143">
            <v>1</v>
          </cell>
          <cell r="I143">
            <v>31488</v>
          </cell>
          <cell r="J143">
            <v>1</v>
          </cell>
          <cell r="K143">
            <v>1</v>
          </cell>
          <cell r="L143">
            <v>3</v>
          </cell>
          <cell r="M143">
            <v>0</v>
          </cell>
          <cell r="N143">
            <v>1</v>
          </cell>
          <cell r="X143" t="b">
            <v>0</v>
          </cell>
          <cell r="BG143">
            <v>0</v>
          </cell>
          <cell r="BK143">
            <v>1</v>
          </cell>
          <cell r="BL143">
            <v>79</v>
          </cell>
          <cell r="BN143">
            <v>23.236139630390145</v>
          </cell>
          <cell r="BO143" t="str">
            <v>Adult</v>
          </cell>
          <cell r="BQ143" t="str">
            <v>Y</v>
          </cell>
          <cell r="BR143" t="str">
            <v>HHNoKids</v>
          </cell>
        </row>
        <row r="144">
          <cell r="C144" t="str">
            <v>Paulette</v>
          </cell>
          <cell r="E144" t="str">
            <v>Punctual</v>
          </cell>
          <cell r="H144">
            <v>1</v>
          </cell>
          <cell r="I144">
            <v>31531</v>
          </cell>
          <cell r="J144">
            <v>1</v>
          </cell>
          <cell r="K144">
            <v>5</v>
          </cell>
          <cell r="M144">
            <v>0</v>
          </cell>
          <cell r="N144">
            <v>1</v>
          </cell>
          <cell r="X144" t="b">
            <v>0</v>
          </cell>
          <cell r="BG144">
            <v>0</v>
          </cell>
          <cell r="BK144">
            <v>1</v>
          </cell>
          <cell r="BL144">
            <v>50</v>
          </cell>
          <cell r="BN144">
            <v>23.175906913073238</v>
          </cell>
          <cell r="BO144" t="str">
            <v>Adult</v>
          </cell>
          <cell r="BQ144" t="str">
            <v>Y</v>
          </cell>
          <cell r="BR144" t="str">
            <v>HHNoKids</v>
          </cell>
        </row>
        <row r="145">
          <cell r="C145" t="str">
            <v>Pamela</v>
          </cell>
          <cell r="E145" t="str">
            <v>Pursuit</v>
          </cell>
          <cell r="H145">
            <v>1</v>
          </cell>
          <cell r="I145">
            <v>24943</v>
          </cell>
          <cell r="J145">
            <v>1</v>
          </cell>
          <cell r="K145">
            <v>3</v>
          </cell>
          <cell r="M145">
            <v>0</v>
          </cell>
          <cell r="N145">
            <v>0</v>
          </cell>
          <cell r="X145" t="b">
            <v>0</v>
          </cell>
          <cell r="BG145">
            <v>0</v>
          </cell>
          <cell r="BK145">
            <v>0</v>
          </cell>
          <cell r="BL145">
            <v>-28</v>
          </cell>
          <cell r="BN145">
            <v>40.438056125941138</v>
          </cell>
          <cell r="BO145" t="str">
            <v>Adult</v>
          </cell>
          <cell r="BQ145" t="str">
            <v>Y</v>
          </cell>
          <cell r="BR145" t="e">
            <v>#N/A</v>
          </cell>
        </row>
        <row r="146">
          <cell r="C146" t="str">
            <v>Phylliss</v>
          </cell>
          <cell r="E146" t="str">
            <v>Purvey</v>
          </cell>
          <cell r="H146">
            <v>1</v>
          </cell>
          <cell r="I146">
            <v>30860</v>
          </cell>
          <cell r="J146">
            <v>1</v>
          </cell>
          <cell r="K146">
            <v>3</v>
          </cell>
          <cell r="M146">
            <v>0</v>
          </cell>
          <cell r="N146">
            <v>0</v>
          </cell>
          <cell r="X146" t="b">
            <v>0</v>
          </cell>
          <cell r="BG146">
            <v>0</v>
          </cell>
          <cell r="BK146">
            <v>0</v>
          </cell>
          <cell r="BL146">
            <v>61</v>
          </cell>
          <cell r="BN146">
            <v>25.264887063655031</v>
          </cell>
          <cell r="BO146" t="str">
            <v>Adult</v>
          </cell>
          <cell r="BQ146" t="str">
            <v>Y</v>
          </cell>
          <cell r="BR146" t="str">
            <v>HHNoKids</v>
          </cell>
        </row>
        <row r="147">
          <cell r="C147" t="str">
            <v>Purple</v>
          </cell>
          <cell r="E147" t="str">
            <v>Putty</v>
          </cell>
          <cell r="H147">
            <v>1</v>
          </cell>
          <cell r="I147">
            <v>22246</v>
          </cell>
          <cell r="J147">
            <v>1</v>
          </cell>
          <cell r="K147">
            <v>3</v>
          </cell>
          <cell r="M147">
            <v>0</v>
          </cell>
          <cell r="N147">
            <v>1</v>
          </cell>
          <cell r="X147" t="b">
            <v>0</v>
          </cell>
          <cell r="BG147">
            <v>0</v>
          </cell>
          <cell r="BK147">
            <v>1</v>
          </cell>
          <cell r="BL147">
            <v>-136</v>
          </cell>
          <cell r="BN147">
            <v>47.600273785078713</v>
          </cell>
          <cell r="BO147" t="str">
            <v>Adult</v>
          </cell>
          <cell r="BQ147" t="str">
            <v>Y</v>
          </cell>
          <cell r="BR147" t="e">
            <v>#N/A</v>
          </cell>
        </row>
        <row r="148">
          <cell r="C148" t="str">
            <v>Patchouli</v>
          </cell>
          <cell r="E148" t="str">
            <v>Puzzle</v>
          </cell>
          <cell r="H148">
            <v>1</v>
          </cell>
          <cell r="I148">
            <v>38005</v>
          </cell>
          <cell r="J148">
            <v>1</v>
          </cell>
          <cell r="K148">
            <v>5</v>
          </cell>
          <cell r="M148">
            <v>0</v>
          </cell>
          <cell r="N148">
            <v>1</v>
          </cell>
          <cell r="X148" t="b">
            <v>0</v>
          </cell>
          <cell r="BG148">
            <v>0</v>
          </cell>
          <cell r="BK148">
            <v>1</v>
          </cell>
          <cell r="BL148">
            <v>85</v>
          </cell>
          <cell r="BN148">
            <v>5.5879534565366189</v>
          </cell>
          <cell r="BO148" t="str">
            <v>Child</v>
          </cell>
          <cell r="BQ148" t="str">
            <v>N</v>
          </cell>
          <cell r="BR148" t="str">
            <v>HHKidsOnly</v>
          </cell>
        </row>
        <row r="149">
          <cell r="C149" t="str">
            <v>Pasquale</v>
          </cell>
          <cell r="E149" t="str">
            <v>Pyramidal</v>
          </cell>
          <cell r="H149">
            <v>1</v>
          </cell>
          <cell r="I149">
            <v>29636</v>
          </cell>
          <cell r="J149">
            <v>1</v>
          </cell>
          <cell r="K149">
            <v>5</v>
          </cell>
          <cell r="M149">
            <v>0</v>
          </cell>
          <cell r="N149">
            <v>0</v>
          </cell>
          <cell r="X149" t="b">
            <v>0</v>
          </cell>
          <cell r="BG149">
            <v>0</v>
          </cell>
          <cell r="BK149">
            <v>0</v>
          </cell>
          <cell r="BL149">
            <v>85</v>
          </cell>
          <cell r="BN149">
            <v>28.501026694045173</v>
          </cell>
          <cell r="BO149" t="str">
            <v>Adult</v>
          </cell>
          <cell r="BQ149" t="str">
            <v>Y</v>
          </cell>
          <cell r="BR149" t="str">
            <v>HHNoKids</v>
          </cell>
        </row>
        <row r="150">
          <cell r="C150" t="str">
            <v>Dad</v>
          </cell>
          <cell r="E150" t="str">
            <v>Tester</v>
          </cell>
          <cell r="H150">
            <v>1</v>
          </cell>
          <cell r="I150">
            <v>23292</v>
          </cell>
          <cell r="J150">
            <v>1</v>
          </cell>
          <cell r="K150">
            <v>5</v>
          </cell>
          <cell r="M150">
            <v>1</v>
          </cell>
          <cell r="N150">
            <v>1</v>
          </cell>
          <cell r="X150" t="b">
            <v>0</v>
          </cell>
          <cell r="BG150">
            <v>2</v>
          </cell>
          <cell r="BK150">
            <v>1</v>
          </cell>
          <cell r="BL150">
            <v>58</v>
          </cell>
          <cell r="BN150">
            <v>45.730321697467488</v>
          </cell>
          <cell r="BO150" t="str">
            <v>Adult</v>
          </cell>
          <cell r="BQ150" t="str">
            <v>Y</v>
          </cell>
          <cell r="BR150" t="str">
            <v>HHNoKids</v>
          </cell>
        </row>
        <row r="151">
          <cell r="C151" t="str">
            <v>Mom</v>
          </cell>
          <cell r="E151" t="str">
            <v>Tester</v>
          </cell>
          <cell r="H151">
            <v>1</v>
          </cell>
          <cell r="I151">
            <v>23291</v>
          </cell>
          <cell r="J151">
            <v>1</v>
          </cell>
          <cell r="K151">
            <v>5</v>
          </cell>
          <cell r="M151">
            <v>0</v>
          </cell>
          <cell r="N151">
            <v>0</v>
          </cell>
          <cell r="X151" t="b">
            <v>0</v>
          </cell>
          <cell r="BG151">
            <v>1</v>
          </cell>
          <cell r="BK151">
            <v>0</v>
          </cell>
          <cell r="BL151">
            <v>58</v>
          </cell>
          <cell r="BN151">
            <v>45.650924024640659</v>
          </cell>
          <cell r="BO151" t="str">
            <v>Adult</v>
          </cell>
          <cell r="BQ151" t="str">
            <v>Y</v>
          </cell>
          <cell r="BR151" t="str">
            <v>HHNoKids</v>
          </cell>
        </row>
        <row r="152">
          <cell r="C152" t="str">
            <v>Kid1</v>
          </cell>
          <cell r="E152" t="str">
            <v>Tester</v>
          </cell>
          <cell r="H152">
            <v>1</v>
          </cell>
          <cell r="I152">
            <v>34981</v>
          </cell>
          <cell r="J152">
            <v>1</v>
          </cell>
          <cell r="K152">
            <v>5</v>
          </cell>
          <cell r="M152">
            <v>0</v>
          </cell>
          <cell r="N152">
            <v>1</v>
          </cell>
          <cell r="X152" t="b">
            <v>0</v>
          </cell>
          <cell r="BG152">
            <v>1</v>
          </cell>
          <cell r="BK152">
            <v>1</v>
          </cell>
          <cell r="BL152">
            <v>73</v>
          </cell>
          <cell r="BN152">
            <v>14.146475017111568</v>
          </cell>
          <cell r="BO152" t="str">
            <v>Child</v>
          </cell>
          <cell r="BQ152" t="str">
            <v>N</v>
          </cell>
          <cell r="BR152" t="str">
            <v>HHKidsOnly</v>
          </cell>
        </row>
        <row r="153">
          <cell r="C153" t="str">
            <v>Kid2</v>
          </cell>
          <cell r="E153" t="str">
            <v>Tester</v>
          </cell>
          <cell r="H153">
            <v>1</v>
          </cell>
          <cell r="I153">
            <v>33887</v>
          </cell>
          <cell r="J153">
            <v>1</v>
          </cell>
          <cell r="K153">
            <v>5</v>
          </cell>
          <cell r="M153">
            <v>0</v>
          </cell>
          <cell r="N153">
            <v>0</v>
          </cell>
          <cell r="X153" t="b">
            <v>0</v>
          </cell>
          <cell r="BG153">
            <v>1</v>
          </cell>
          <cell r="BK153">
            <v>0</v>
          </cell>
          <cell r="BL153">
            <v>58</v>
          </cell>
          <cell r="BN153">
            <v>17.059548254620122</v>
          </cell>
          <cell r="BO153" t="str">
            <v>Child</v>
          </cell>
          <cell r="BQ153" t="str">
            <v>N</v>
          </cell>
          <cell r="BR153" t="str">
            <v>HHKidsOnly</v>
          </cell>
        </row>
        <row r="154">
          <cell r="C154" t="str">
            <v>Mom2</v>
          </cell>
          <cell r="E154" t="str">
            <v>Tester</v>
          </cell>
          <cell r="H154">
            <v>1</v>
          </cell>
          <cell r="I154">
            <v>23322</v>
          </cell>
          <cell r="J154">
            <v>1</v>
          </cell>
          <cell r="K154">
            <v>5</v>
          </cell>
          <cell r="M154">
            <v>0</v>
          </cell>
          <cell r="N154">
            <v>0</v>
          </cell>
          <cell r="X154" t="b">
            <v>0</v>
          </cell>
          <cell r="BG154">
            <v>0</v>
          </cell>
          <cell r="BK154">
            <v>0</v>
          </cell>
          <cell r="BL154">
            <v>31</v>
          </cell>
          <cell r="BN154">
            <v>45.152635181382614</v>
          </cell>
          <cell r="BO154" t="str">
            <v>Adult</v>
          </cell>
          <cell r="BQ154" t="str">
            <v>Y</v>
          </cell>
          <cell r="BR154" t="str">
            <v>HHNoKids</v>
          </cell>
        </row>
        <row r="155">
          <cell r="C155" t="str">
            <v>Kid3</v>
          </cell>
          <cell r="E155" t="str">
            <v>Tester</v>
          </cell>
          <cell r="H155">
            <v>1</v>
          </cell>
          <cell r="I155">
            <v>1</v>
          </cell>
          <cell r="J155">
            <v>9</v>
          </cell>
          <cell r="K155">
            <v>5</v>
          </cell>
          <cell r="M155">
            <v>0</v>
          </cell>
          <cell r="N155">
            <v>1</v>
          </cell>
          <cell r="X155" t="b">
            <v>0</v>
          </cell>
          <cell r="BG155">
            <v>0</v>
          </cell>
          <cell r="BK155">
            <v>1</v>
          </cell>
          <cell r="BL155">
            <v>31</v>
          </cell>
          <cell r="BN155">
            <v>109.00205338809035</v>
          </cell>
          <cell r="BO155" t="str">
            <v>Adult</v>
          </cell>
          <cell r="BQ155" t="str">
            <v>Y</v>
          </cell>
          <cell r="BR155" t="str">
            <v>HHNoKids</v>
          </cell>
        </row>
        <row r="156">
          <cell r="C156" t="str">
            <v>Oliver</v>
          </cell>
          <cell r="E156" t="str">
            <v>Thipsukhum</v>
          </cell>
          <cell r="H156">
            <v>1</v>
          </cell>
          <cell r="I156">
            <v>40014</v>
          </cell>
          <cell r="J156">
            <v>1</v>
          </cell>
          <cell r="K156">
            <v>2</v>
          </cell>
          <cell r="L156">
            <v>5</v>
          </cell>
          <cell r="M156">
            <v>0</v>
          </cell>
          <cell r="N156">
            <v>1</v>
          </cell>
          <cell r="X156" t="b">
            <v>0</v>
          </cell>
          <cell r="BG156">
            <v>0</v>
          </cell>
          <cell r="BK156">
            <v>1</v>
          </cell>
          <cell r="BL156">
            <v>27</v>
          </cell>
          <cell r="BN156">
            <v>0</v>
          </cell>
          <cell r="BO156" t="str">
            <v>Child</v>
          </cell>
          <cell r="BQ156" t="str">
            <v>N</v>
          </cell>
          <cell r="BR156" t="str">
            <v>HHKidsOnly</v>
          </cell>
        </row>
        <row r="157">
          <cell r="C157" t="str">
            <v>Pumpkin</v>
          </cell>
          <cell r="E157" t="str">
            <v>Tim</v>
          </cell>
          <cell r="H157">
            <v>1</v>
          </cell>
          <cell r="I157">
            <v>27125</v>
          </cell>
          <cell r="J157">
            <v>1</v>
          </cell>
          <cell r="K157">
            <v>1</v>
          </cell>
          <cell r="M157">
            <v>1</v>
          </cell>
          <cell r="N157">
            <v>0</v>
          </cell>
          <cell r="X157" t="b">
            <v>0</v>
          </cell>
          <cell r="BG157">
            <v>0</v>
          </cell>
          <cell r="BK157">
            <v>0</v>
          </cell>
          <cell r="BL157">
            <v>183</v>
          </cell>
          <cell r="BN157">
            <v>35.238877481177276</v>
          </cell>
          <cell r="BO157" t="str">
            <v>Adult</v>
          </cell>
          <cell r="BQ157" t="str">
            <v>Y</v>
          </cell>
          <cell r="BR157" t="str">
            <v>HHNoKids</v>
          </cell>
        </row>
        <row r="158">
          <cell r="C158" t="str">
            <v>Petunia</v>
          </cell>
          <cell r="E158" t="str">
            <v>Tim</v>
          </cell>
          <cell r="H158">
            <v>1</v>
          </cell>
          <cell r="I158">
            <v>40009</v>
          </cell>
          <cell r="J158">
            <v>1</v>
          </cell>
          <cell r="K158">
            <v>3</v>
          </cell>
          <cell r="M158">
            <v>1</v>
          </cell>
          <cell r="N158">
            <v>4</v>
          </cell>
          <cell r="X158" t="b">
            <v>0</v>
          </cell>
          <cell r="BG158">
            <v>0</v>
          </cell>
          <cell r="BK158">
            <v>4</v>
          </cell>
          <cell r="BL158">
            <v>170</v>
          </cell>
          <cell r="BN158">
            <v>0</v>
          </cell>
          <cell r="BO158" t="str">
            <v>Child</v>
          </cell>
          <cell r="BQ158" t="str">
            <v>N</v>
          </cell>
          <cell r="BR158" t="str">
            <v>HHKidsOnly</v>
          </cell>
        </row>
        <row r="159">
          <cell r="C159" t="str">
            <v>Poodle</v>
          </cell>
          <cell r="E159" t="str">
            <v>Tim</v>
          </cell>
          <cell r="H159">
            <v>1</v>
          </cell>
          <cell r="I159">
            <v>35413</v>
          </cell>
          <cell r="J159">
            <v>1</v>
          </cell>
          <cell r="K159">
            <v>1</v>
          </cell>
          <cell r="L159">
            <v>2</v>
          </cell>
          <cell r="M159">
            <v>1</v>
          </cell>
          <cell r="N159">
            <v>2</v>
          </cell>
          <cell r="X159" t="b">
            <v>0</v>
          </cell>
          <cell r="BG159">
            <v>0</v>
          </cell>
          <cell r="BK159">
            <v>2</v>
          </cell>
          <cell r="BL159">
            <v>183</v>
          </cell>
          <cell r="BN159">
            <v>12.547570157426421</v>
          </cell>
          <cell r="BO159" t="str">
            <v>Child</v>
          </cell>
          <cell r="BQ159" t="str">
            <v>N</v>
          </cell>
          <cell r="BR159" t="str">
            <v>HHKidsOnly</v>
          </cell>
        </row>
      </sheetData>
      <sheetData sheetId="4">
        <row r="1">
          <cell r="H1" t="str">
            <v>Income Last 30 Days</v>
          </cell>
          <cell r="I1" t="str">
            <v>NonCash Benefits Last 30 Days</v>
          </cell>
          <cell r="J1" t="str">
            <v>Physical Disability</v>
          </cell>
          <cell r="L1" t="str">
            <v>Has Developmental Disability</v>
          </cell>
          <cell r="N1" t="str">
            <v>Has Chronic Health Condition</v>
          </cell>
          <cell r="P1" t="str">
            <v>Has HIV AIDS</v>
          </cell>
          <cell r="R1" t="str">
            <v>Has Mental Health Problem</v>
          </cell>
          <cell r="U1" t="str">
            <v>Has Substance Abuse Problem</v>
          </cell>
          <cell r="X1" t="str">
            <v>Domestic Violence Survivor</v>
          </cell>
          <cell r="Y1" t="str">
            <v>DV Occurred</v>
          </cell>
          <cell r="BC1" t="str">
            <v>Entry, Exit or Neither?</v>
          </cell>
          <cell r="BE1" t="str">
            <v>Adult,  Child, or Unknown?</v>
          </cell>
          <cell r="BF1" t="str">
            <v>Adult or UY?</v>
          </cell>
          <cell r="BG1" t="str">
            <v>Household Type</v>
          </cell>
          <cell r="BH1" t="str">
            <v>Assessment Closest to Entry</v>
          </cell>
          <cell r="BI1" t="str">
            <v>Assessment Closest to Report End</v>
          </cell>
          <cell r="BK1" t="str">
            <v>Disabled Status</v>
          </cell>
          <cell r="BL1" t="str">
            <v>Number of Conditions</v>
          </cell>
          <cell r="BM1" t="str">
            <v>Exit Status</v>
          </cell>
        </row>
        <row r="2">
          <cell r="H2">
            <v>1</v>
          </cell>
          <cell r="I2">
            <v>1</v>
          </cell>
          <cell r="BC2" t="str">
            <v>Entry</v>
          </cell>
          <cell r="BH2" t="str">
            <v>Y</v>
          </cell>
          <cell r="BI2" t="str">
            <v>Y</v>
          </cell>
        </row>
        <row r="3">
          <cell r="J3">
            <v>0</v>
          </cell>
          <cell r="L3">
            <v>0</v>
          </cell>
          <cell r="N3">
            <v>0</v>
          </cell>
          <cell r="P3">
            <v>0</v>
          </cell>
          <cell r="R3">
            <v>0</v>
          </cell>
          <cell r="U3">
            <v>0</v>
          </cell>
          <cell r="X3">
            <v>0</v>
          </cell>
          <cell r="BC3" t="str">
            <v>Entry</v>
          </cell>
          <cell r="BH3" t="str">
            <v>Y</v>
          </cell>
          <cell r="BI3" t="str">
            <v>Y</v>
          </cell>
        </row>
        <row r="4">
          <cell r="H4">
            <v>1</v>
          </cell>
          <cell r="I4">
            <v>1</v>
          </cell>
          <cell r="BC4" t="str">
            <v>Exit</v>
          </cell>
          <cell r="BH4" t="str">
            <v>Y</v>
          </cell>
          <cell r="BI4" t="str">
            <v>Y</v>
          </cell>
        </row>
        <row r="5">
          <cell r="J5">
            <v>0</v>
          </cell>
          <cell r="L5">
            <v>1</v>
          </cell>
          <cell r="N5">
            <v>0</v>
          </cell>
          <cell r="P5">
            <v>0</v>
          </cell>
          <cell r="R5">
            <v>1</v>
          </cell>
          <cell r="U5">
            <v>0</v>
          </cell>
          <cell r="X5">
            <v>0</v>
          </cell>
          <cell r="BC5" t="str">
            <v>Exit</v>
          </cell>
          <cell r="BH5" t="str">
            <v>Y</v>
          </cell>
          <cell r="BI5" t="str">
            <v>Y</v>
          </cell>
        </row>
        <row r="6">
          <cell r="H6">
            <v>1</v>
          </cell>
          <cell r="I6">
            <v>1</v>
          </cell>
          <cell r="BC6" t="str">
            <v>Neither</v>
          </cell>
          <cell r="BH6" t="str">
            <v>Y</v>
          </cell>
          <cell r="BI6" t="str">
            <v>Y</v>
          </cell>
        </row>
        <row r="7">
          <cell r="H7">
            <v>0</v>
          </cell>
          <cell r="I7">
            <v>1</v>
          </cell>
          <cell r="BC7" t="str">
            <v>Entry</v>
          </cell>
          <cell r="BH7" t="str">
            <v>Y</v>
          </cell>
          <cell r="BI7" t="str">
            <v>Y</v>
          </cell>
        </row>
        <row r="8">
          <cell r="J8">
            <v>0</v>
          </cell>
          <cell r="L8">
            <v>0</v>
          </cell>
          <cell r="N8">
            <v>0</v>
          </cell>
          <cell r="P8">
            <v>0</v>
          </cell>
          <cell r="R8">
            <v>0</v>
          </cell>
          <cell r="U8">
            <v>0</v>
          </cell>
          <cell r="X8">
            <v>0</v>
          </cell>
          <cell r="BC8" t="str">
            <v>Entry</v>
          </cell>
          <cell r="BH8" t="str">
            <v>Y</v>
          </cell>
          <cell r="BI8" t="str">
            <v>Y</v>
          </cell>
        </row>
        <row r="9">
          <cell r="H9">
            <v>0</v>
          </cell>
          <cell r="I9">
            <v>1</v>
          </cell>
          <cell r="BC9" t="str">
            <v>Exit</v>
          </cell>
          <cell r="BH9" t="str">
            <v>Y</v>
          </cell>
          <cell r="BI9" t="str">
            <v>Y</v>
          </cell>
        </row>
        <row r="10">
          <cell r="J10">
            <v>0</v>
          </cell>
          <cell r="L10">
            <v>0</v>
          </cell>
          <cell r="N10">
            <v>0</v>
          </cell>
          <cell r="P10">
            <v>0</v>
          </cell>
          <cell r="R10">
            <v>0</v>
          </cell>
          <cell r="U10">
            <v>0</v>
          </cell>
          <cell r="X10">
            <v>0</v>
          </cell>
          <cell r="BC10" t="str">
            <v>Exit</v>
          </cell>
          <cell r="BH10" t="str">
            <v>Y</v>
          </cell>
          <cell r="BI10" t="str">
            <v>Y</v>
          </cell>
        </row>
        <row r="11">
          <cell r="J11">
            <v>0</v>
          </cell>
          <cell r="L11">
            <v>0</v>
          </cell>
          <cell r="N11">
            <v>0</v>
          </cell>
          <cell r="P11">
            <v>0</v>
          </cell>
          <cell r="R11">
            <v>0</v>
          </cell>
          <cell r="U11">
            <v>0</v>
          </cell>
          <cell r="X11">
            <v>0</v>
          </cell>
          <cell r="BC11" t="str">
            <v>Entry</v>
          </cell>
          <cell r="BH11" t="str">
            <v>Y</v>
          </cell>
          <cell r="BI11" t="str">
            <v>Y</v>
          </cell>
        </row>
        <row r="12">
          <cell r="H12">
            <v>0</v>
          </cell>
          <cell r="I12">
            <v>0</v>
          </cell>
          <cell r="BC12" t="str">
            <v>Entry</v>
          </cell>
          <cell r="BH12" t="str">
            <v>Y</v>
          </cell>
          <cell r="BI12" t="str">
            <v>Y</v>
          </cell>
        </row>
        <row r="13">
          <cell r="J13">
            <v>0</v>
          </cell>
          <cell r="L13">
            <v>0</v>
          </cell>
          <cell r="N13">
            <v>0</v>
          </cell>
          <cell r="P13">
            <v>0</v>
          </cell>
          <cell r="R13">
            <v>0</v>
          </cell>
          <cell r="U13">
            <v>0</v>
          </cell>
          <cell r="X13">
            <v>0</v>
          </cell>
          <cell r="BC13" t="str">
            <v>Exit</v>
          </cell>
          <cell r="BH13" t="str">
            <v>Y</v>
          </cell>
          <cell r="BI13" t="str">
            <v>Y</v>
          </cell>
        </row>
        <row r="14">
          <cell r="H14">
            <v>0</v>
          </cell>
          <cell r="I14">
            <v>0</v>
          </cell>
          <cell r="BC14" t="str">
            <v>Exit</v>
          </cell>
          <cell r="BH14" t="str">
            <v>Y</v>
          </cell>
          <cell r="BI14" t="str">
            <v>Y</v>
          </cell>
        </row>
        <row r="15">
          <cell r="J15">
            <v>0</v>
          </cell>
          <cell r="L15">
            <v>0</v>
          </cell>
          <cell r="P15">
            <v>0</v>
          </cell>
          <cell r="R15">
            <v>0</v>
          </cell>
          <cell r="U15">
            <v>0</v>
          </cell>
          <cell r="X15">
            <v>0</v>
          </cell>
          <cell r="BC15" t="str">
            <v>Entry</v>
          </cell>
          <cell r="BH15" t="str">
            <v>Y</v>
          </cell>
          <cell r="BI15" t="str">
            <v>Y</v>
          </cell>
        </row>
        <row r="16">
          <cell r="H16">
            <v>0</v>
          </cell>
          <cell r="I16">
            <v>0</v>
          </cell>
          <cell r="BC16" t="str">
            <v>Entry</v>
          </cell>
          <cell r="BH16" t="str">
            <v>Y</v>
          </cell>
          <cell r="BI16" t="str">
            <v>Y</v>
          </cell>
        </row>
        <row r="17">
          <cell r="J17">
            <v>0</v>
          </cell>
          <cell r="L17">
            <v>0</v>
          </cell>
          <cell r="P17">
            <v>0</v>
          </cell>
          <cell r="R17">
            <v>0</v>
          </cell>
          <cell r="U17">
            <v>0</v>
          </cell>
          <cell r="X17">
            <v>0</v>
          </cell>
          <cell r="BC17" t="str">
            <v>Exit</v>
          </cell>
          <cell r="BH17" t="str">
            <v>Y</v>
          </cell>
          <cell r="BI17" t="str">
            <v>Y</v>
          </cell>
        </row>
        <row r="18">
          <cell r="H18">
            <v>0</v>
          </cell>
          <cell r="I18">
            <v>0</v>
          </cell>
          <cell r="BC18" t="str">
            <v>Exit</v>
          </cell>
          <cell r="BH18" t="str">
            <v>Y</v>
          </cell>
          <cell r="BI18" t="str">
            <v>Y</v>
          </cell>
        </row>
        <row r="19">
          <cell r="H19">
            <v>0</v>
          </cell>
          <cell r="I19">
            <v>0</v>
          </cell>
          <cell r="BC19" t="str">
            <v>Entry</v>
          </cell>
          <cell r="BH19" t="str">
            <v>Y</v>
          </cell>
          <cell r="BI19" t="str">
            <v>Y</v>
          </cell>
        </row>
        <row r="20">
          <cell r="J20">
            <v>0</v>
          </cell>
          <cell r="L20">
            <v>0</v>
          </cell>
          <cell r="N20">
            <v>0</v>
          </cell>
          <cell r="P20">
            <v>0</v>
          </cell>
          <cell r="R20">
            <v>0</v>
          </cell>
          <cell r="U20">
            <v>0</v>
          </cell>
          <cell r="X20">
            <v>0</v>
          </cell>
          <cell r="BC20" t="str">
            <v>Entry</v>
          </cell>
          <cell r="BH20" t="str">
            <v>Y</v>
          </cell>
          <cell r="BI20" t="str">
            <v>Y</v>
          </cell>
        </row>
        <row r="21">
          <cell r="H21">
            <v>0</v>
          </cell>
          <cell r="I21">
            <v>0</v>
          </cell>
          <cell r="BC21" t="str">
            <v>Exit</v>
          </cell>
          <cell r="BH21" t="str">
            <v>Y</v>
          </cell>
          <cell r="BI21" t="str">
            <v>Y</v>
          </cell>
        </row>
        <row r="22">
          <cell r="J22">
            <v>0</v>
          </cell>
          <cell r="L22">
            <v>0</v>
          </cell>
          <cell r="N22">
            <v>0</v>
          </cell>
          <cell r="P22">
            <v>0</v>
          </cell>
          <cell r="R22">
            <v>0</v>
          </cell>
          <cell r="U22">
            <v>0</v>
          </cell>
          <cell r="X22">
            <v>0</v>
          </cell>
          <cell r="BC22" t="str">
            <v>Exit</v>
          </cell>
          <cell r="BH22" t="str">
            <v>Y</v>
          </cell>
          <cell r="BI22" t="str">
            <v>Y</v>
          </cell>
        </row>
        <row r="23">
          <cell r="J23">
            <v>0</v>
          </cell>
          <cell r="L23">
            <v>0</v>
          </cell>
          <cell r="N23">
            <v>0</v>
          </cell>
          <cell r="P23">
            <v>0</v>
          </cell>
          <cell r="R23">
            <v>0</v>
          </cell>
          <cell r="U23">
            <v>0</v>
          </cell>
          <cell r="X23">
            <v>0</v>
          </cell>
          <cell r="BC23" t="str">
            <v>Entry</v>
          </cell>
          <cell r="BH23" t="str">
            <v>Y</v>
          </cell>
          <cell r="BI23" t="str">
            <v>Y</v>
          </cell>
        </row>
        <row r="24">
          <cell r="H24">
            <v>0</v>
          </cell>
          <cell r="I24">
            <v>0</v>
          </cell>
          <cell r="BC24" t="str">
            <v>Entry</v>
          </cell>
          <cell r="BH24" t="str">
            <v>Y</v>
          </cell>
          <cell r="BI24" t="str">
            <v>Y</v>
          </cell>
        </row>
        <row r="25">
          <cell r="J25">
            <v>0</v>
          </cell>
          <cell r="L25">
            <v>0</v>
          </cell>
          <cell r="N25">
            <v>0</v>
          </cell>
          <cell r="P25">
            <v>0</v>
          </cell>
          <cell r="R25">
            <v>0</v>
          </cell>
          <cell r="U25">
            <v>0</v>
          </cell>
          <cell r="X25">
            <v>0</v>
          </cell>
          <cell r="BC25" t="str">
            <v>Exit</v>
          </cell>
          <cell r="BH25" t="str">
            <v>Y</v>
          </cell>
          <cell r="BI25" t="str">
            <v>Y</v>
          </cell>
        </row>
        <row r="26">
          <cell r="H26">
            <v>0</v>
          </cell>
          <cell r="I26">
            <v>0</v>
          </cell>
          <cell r="BC26" t="str">
            <v>Exit</v>
          </cell>
          <cell r="BH26" t="str">
            <v>Y</v>
          </cell>
          <cell r="BI26" t="str">
            <v>Y</v>
          </cell>
        </row>
        <row r="27">
          <cell r="H27">
            <v>0</v>
          </cell>
          <cell r="I27">
            <v>0</v>
          </cell>
          <cell r="BC27" t="str">
            <v>Entry</v>
          </cell>
          <cell r="BH27" t="str">
            <v>Y</v>
          </cell>
          <cell r="BI27" t="str">
            <v>Y</v>
          </cell>
        </row>
        <row r="28">
          <cell r="J28">
            <v>0</v>
          </cell>
          <cell r="L28">
            <v>0</v>
          </cell>
          <cell r="N28">
            <v>0</v>
          </cell>
          <cell r="P28">
            <v>0</v>
          </cell>
          <cell r="R28">
            <v>0</v>
          </cell>
          <cell r="U28">
            <v>3</v>
          </cell>
          <cell r="X28">
            <v>0</v>
          </cell>
          <cell r="BC28" t="str">
            <v>Entry</v>
          </cell>
          <cell r="BH28" t="str">
            <v>Y</v>
          </cell>
          <cell r="BI28" t="str">
            <v>Y</v>
          </cell>
        </row>
        <row r="29">
          <cell r="H29">
            <v>0</v>
          </cell>
          <cell r="I29">
            <v>0</v>
          </cell>
          <cell r="BC29" t="str">
            <v>Exit</v>
          </cell>
          <cell r="BH29" t="str">
            <v>Y</v>
          </cell>
          <cell r="BI29" t="str">
            <v>Y</v>
          </cell>
        </row>
        <row r="30">
          <cell r="J30">
            <v>0</v>
          </cell>
          <cell r="L30">
            <v>0</v>
          </cell>
          <cell r="N30">
            <v>0</v>
          </cell>
          <cell r="P30">
            <v>0</v>
          </cell>
          <cell r="R30">
            <v>0</v>
          </cell>
          <cell r="U30">
            <v>3</v>
          </cell>
          <cell r="X30">
            <v>0</v>
          </cell>
          <cell r="BC30" t="str">
            <v>Exit</v>
          </cell>
          <cell r="BH30" t="str">
            <v>Y</v>
          </cell>
          <cell r="BI30" t="str">
            <v>Y</v>
          </cell>
        </row>
        <row r="31">
          <cell r="H31">
            <v>0</v>
          </cell>
          <cell r="I31">
            <v>1</v>
          </cell>
          <cell r="BC31" t="str">
            <v>Entry</v>
          </cell>
          <cell r="BH31" t="str">
            <v>Y</v>
          </cell>
          <cell r="BI31" t="str">
            <v>Y</v>
          </cell>
        </row>
        <row r="32">
          <cell r="J32">
            <v>0</v>
          </cell>
          <cell r="L32">
            <v>0</v>
          </cell>
          <cell r="N32">
            <v>1</v>
          </cell>
          <cell r="P32">
            <v>0</v>
          </cell>
          <cell r="R32">
            <v>1</v>
          </cell>
          <cell r="U32">
            <v>0</v>
          </cell>
          <cell r="X32">
            <v>0</v>
          </cell>
          <cell r="BC32" t="str">
            <v>Entry</v>
          </cell>
          <cell r="BH32" t="str">
            <v>Y</v>
          </cell>
          <cell r="BI32" t="str">
            <v>Y</v>
          </cell>
        </row>
        <row r="33">
          <cell r="J33">
            <v>0</v>
          </cell>
          <cell r="L33">
            <v>0</v>
          </cell>
          <cell r="N33">
            <v>1</v>
          </cell>
          <cell r="P33">
            <v>0</v>
          </cell>
          <cell r="R33">
            <v>1</v>
          </cell>
          <cell r="U33">
            <v>0</v>
          </cell>
          <cell r="X33">
            <v>0</v>
          </cell>
          <cell r="BC33" t="str">
            <v>Exit</v>
          </cell>
          <cell r="BH33" t="str">
            <v>Y</v>
          </cell>
          <cell r="BI33" t="str">
            <v>Y</v>
          </cell>
        </row>
        <row r="34">
          <cell r="H34">
            <v>1</v>
          </cell>
          <cell r="I34">
            <v>1</v>
          </cell>
          <cell r="BC34" t="str">
            <v>Exit</v>
          </cell>
          <cell r="BH34" t="str">
            <v>Y</v>
          </cell>
          <cell r="BI34" t="str">
            <v>Y</v>
          </cell>
        </row>
        <row r="35">
          <cell r="H35">
            <v>1</v>
          </cell>
          <cell r="I35">
            <v>1</v>
          </cell>
          <cell r="BC35" t="str">
            <v>Neither</v>
          </cell>
          <cell r="BH35" t="str">
            <v>Y</v>
          </cell>
          <cell r="BI35" t="str">
            <v>Y</v>
          </cell>
        </row>
        <row r="36">
          <cell r="H36">
            <v>0</v>
          </cell>
          <cell r="I36">
            <v>1</v>
          </cell>
          <cell r="BC36" t="str">
            <v>Entry</v>
          </cell>
          <cell r="BH36" t="str">
            <v>Y</v>
          </cell>
          <cell r="BI36" t="str">
            <v>Y</v>
          </cell>
        </row>
        <row r="37">
          <cell r="J37">
            <v>0</v>
          </cell>
          <cell r="L37">
            <v>0</v>
          </cell>
          <cell r="N37">
            <v>0</v>
          </cell>
          <cell r="P37">
            <v>0</v>
          </cell>
          <cell r="R37">
            <v>0</v>
          </cell>
          <cell r="U37">
            <v>2</v>
          </cell>
          <cell r="X37">
            <v>0</v>
          </cell>
          <cell r="BC37" t="str">
            <v>Entry</v>
          </cell>
          <cell r="BH37" t="str">
            <v>Y</v>
          </cell>
          <cell r="BI37" t="str">
            <v>Y</v>
          </cell>
        </row>
        <row r="38">
          <cell r="J38">
            <v>1</v>
          </cell>
          <cell r="L38">
            <v>0</v>
          </cell>
          <cell r="N38">
            <v>0</v>
          </cell>
          <cell r="P38">
            <v>0</v>
          </cell>
          <cell r="R38">
            <v>1</v>
          </cell>
          <cell r="U38">
            <v>0</v>
          </cell>
          <cell r="X38">
            <v>1</v>
          </cell>
          <cell r="Y38">
            <v>4</v>
          </cell>
          <cell r="BC38" t="str">
            <v>Entry</v>
          </cell>
          <cell r="BH38" t="str">
            <v>Y</v>
          </cell>
          <cell r="BI38" t="str">
            <v>Y</v>
          </cell>
        </row>
        <row r="39">
          <cell r="H39">
            <v>1</v>
          </cell>
          <cell r="I39">
            <v>1</v>
          </cell>
          <cell r="BC39" t="str">
            <v>Entry</v>
          </cell>
          <cell r="BH39" t="str">
            <v>Y</v>
          </cell>
          <cell r="BI39" t="str">
            <v>Y</v>
          </cell>
        </row>
        <row r="40">
          <cell r="J40">
            <v>1</v>
          </cell>
          <cell r="L40">
            <v>0</v>
          </cell>
          <cell r="N40">
            <v>0</v>
          </cell>
          <cell r="P40">
            <v>0</v>
          </cell>
          <cell r="R40">
            <v>1</v>
          </cell>
          <cell r="U40">
            <v>0</v>
          </cell>
          <cell r="X40">
            <v>1</v>
          </cell>
          <cell r="Y40">
            <v>4</v>
          </cell>
          <cell r="BC40" t="str">
            <v>Exit</v>
          </cell>
          <cell r="BH40" t="str">
            <v>Y</v>
          </cell>
          <cell r="BI40" t="str">
            <v>Y</v>
          </cell>
        </row>
        <row r="41">
          <cell r="H41">
            <v>1</v>
          </cell>
          <cell r="I41">
            <v>1</v>
          </cell>
          <cell r="BC41" t="str">
            <v>Exit</v>
          </cell>
          <cell r="BH41" t="str">
            <v>Y</v>
          </cell>
          <cell r="BI41" t="str">
            <v>Y</v>
          </cell>
        </row>
        <row r="42">
          <cell r="J42">
            <v>0</v>
          </cell>
          <cell r="L42">
            <v>0</v>
          </cell>
          <cell r="N42">
            <v>0</v>
          </cell>
          <cell r="P42">
            <v>0</v>
          </cell>
          <cell r="R42">
            <v>0</v>
          </cell>
          <cell r="U42">
            <v>1</v>
          </cell>
          <cell r="X42">
            <v>0</v>
          </cell>
          <cell r="BC42" t="str">
            <v>Entry</v>
          </cell>
          <cell r="BH42" t="str">
            <v>Y</v>
          </cell>
          <cell r="BI42" t="str">
            <v>Y</v>
          </cell>
        </row>
        <row r="43">
          <cell r="H43">
            <v>0</v>
          </cell>
          <cell r="I43">
            <v>0</v>
          </cell>
          <cell r="BC43" t="str">
            <v>Entry</v>
          </cell>
          <cell r="BH43" t="str">
            <v>Y</v>
          </cell>
          <cell r="BI43" t="str">
            <v>Y</v>
          </cell>
        </row>
        <row r="44">
          <cell r="H44">
            <v>0</v>
          </cell>
          <cell r="I44">
            <v>0</v>
          </cell>
          <cell r="BC44" t="str">
            <v>Exit</v>
          </cell>
          <cell r="BH44" t="str">
            <v>Y</v>
          </cell>
          <cell r="BI44" t="str">
            <v>Y</v>
          </cell>
        </row>
        <row r="45">
          <cell r="J45">
            <v>0</v>
          </cell>
          <cell r="L45">
            <v>0</v>
          </cell>
          <cell r="N45">
            <v>0</v>
          </cell>
          <cell r="P45">
            <v>0</v>
          </cell>
          <cell r="R45">
            <v>0</v>
          </cell>
          <cell r="U45">
            <v>1</v>
          </cell>
          <cell r="X45">
            <v>0</v>
          </cell>
          <cell r="BC45" t="str">
            <v>Exit</v>
          </cell>
          <cell r="BH45" t="str">
            <v>Y</v>
          </cell>
          <cell r="BI45" t="str">
            <v>Y</v>
          </cell>
        </row>
        <row r="46">
          <cell r="J46">
            <v>0</v>
          </cell>
          <cell r="L46">
            <v>0</v>
          </cell>
          <cell r="N46">
            <v>0</v>
          </cell>
          <cell r="P46">
            <v>0</v>
          </cell>
          <cell r="R46">
            <v>0</v>
          </cell>
          <cell r="U46">
            <v>3</v>
          </cell>
          <cell r="X46">
            <v>0</v>
          </cell>
          <cell r="BC46" t="str">
            <v>Entry</v>
          </cell>
          <cell r="BH46" t="str">
            <v>Y</v>
          </cell>
          <cell r="BI46" t="str">
            <v>Y</v>
          </cell>
        </row>
        <row r="47">
          <cell r="H47">
            <v>0</v>
          </cell>
          <cell r="I47">
            <v>0</v>
          </cell>
          <cell r="BC47" t="str">
            <v>Entry</v>
          </cell>
          <cell r="BH47" t="str">
            <v>Y</v>
          </cell>
          <cell r="BI47" t="str">
            <v>Y</v>
          </cell>
        </row>
        <row r="48">
          <cell r="J48">
            <v>0</v>
          </cell>
          <cell r="L48">
            <v>0</v>
          </cell>
          <cell r="N48">
            <v>0</v>
          </cell>
          <cell r="P48">
            <v>0</v>
          </cell>
          <cell r="R48">
            <v>0</v>
          </cell>
          <cell r="U48">
            <v>3</v>
          </cell>
          <cell r="X48">
            <v>0</v>
          </cell>
          <cell r="BC48" t="str">
            <v>Exit</v>
          </cell>
          <cell r="BH48" t="str">
            <v>Y</v>
          </cell>
          <cell r="BI48" t="str">
            <v>Y</v>
          </cell>
        </row>
        <row r="49">
          <cell r="H49">
            <v>1</v>
          </cell>
          <cell r="I49">
            <v>0</v>
          </cell>
          <cell r="BC49" t="str">
            <v>Exit</v>
          </cell>
          <cell r="BH49" t="str">
            <v>Y</v>
          </cell>
          <cell r="BI49" t="str">
            <v>Y</v>
          </cell>
        </row>
        <row r="50">
          <cell r="J50">
            <v>0</v>
          </cell>
          <cell r="L50">
            <v>0</v>
          </cell>
          <cell r="N50">
            <v>0</v>
          </cell>
          <cell r="P50">
            <v>0</v>
          </cell>
          <cell r="R50">
            <v>0</v>
          </cell>
          <cell r="U50">
            <v>0</v>
          </cell>
          <cell r="X50">
            <v>0</v>
          </cell>
          <cell r="BC50" t="str">
            <v>Entry</v>
          </cell>
          <cell r="BH50" t="str">
            <v>Y</v>
          </cell>
          <cell r="BI50" t="str">
            <v>Y</v>
          </cell>
        </row>
        <row r="51">
          <cell r="H51">
            <v>1</v>
          </cell>
          <cell r="I51">
            <v>0</v>
          </cell>
          <cell r="BC51" t="str">
            <v>Entry</v>
          </cell>
          <cell r="BH51" t="str">
            <v>Y</v>
          </cell>
          <cell r="BI51" t="str">
            <v>Y</v>
          </cell>
        </row>
        <row r="52">
          <cell r="H52">
            <v>1</v>
          </cell>
          <cell r="I52">
            <v>0</v>
          </cell>
          <cell r="BC52" t="str">
            <v>Exit</v>
          </cell>
          <cell r="BH52" t="str">
            <v>Y</v>
          </cell>
          <cell r="BI52" t="str">
            <v>Y</v>
          </cell>
        </row>
        <row r="53">
          <cell r="J53">
            <v>0</v>
          </cell>
          <cell r="L53">
            <v>0</v>
          </cell>
          <cell r="N53">
            <v>0</v>
          </cell>
          <cell r="P53">
            <v>0</v>
          </cell>
          <cell r="R53">
            <v>0</v>
          </cell>
          <cell r="U53">
            <v>0</v>
          </cell>
          <cell r="X53">
            <v>0</v>
          </cell>
          <cell r="BC53" t="str">
            <v>Exit</v>
          </cell>
          <cell r="BH53" t="str">
            <v>Y</v>
          </cell>
          <cell r="BI53" t="str">
            <v>Y</v>
          </cell>
        </row>
        <row r="54">
          <cell r="H54">
            <v>0</v>
          </cell>
          <cell r="I54">
            <v>0</v>
          </cell>
          <cell r="BC54" t="str">
            <v>Entry</v>
          </cell>
          <cell r="BH54" t="str">
            <v>Y</v>
          </cell>
          <cell r="BI54" t="str">
            <v>Y</v>
          </cell>
        </row>
        <row r="55">
          <cell r="J55">
            <v>0</v>
          </cell>
          <cell r="L55">
            <v>0</v>
          </cell>
          <cell r="N55">
            <v>0</v>
          </cell>
          <cell r="P55">
            <v>0</v>
          </cell>
          <cell r="R55">
            <v>0</v>
          </cell>
          <cell r="U55">
            <v>0</v>
          </cell>
          <cell r="X55">
            <v>0</v>
          </cell>
          <cell r="BC55" t="str">
            <v>Entry</v>
          </cell>
          <cell r="BH55" t="str">
            <v>Y</v>
          </cell>
          <cell r="BI55" t="str">
            <v>Y</v>
          </cell>
        </row>
        <row r="56">
          <cell r="J56">
            <v>0</v>
          </cell>
          <cell r="L56">
            <v>0</v>
          </cell>
          <cell r="N56">
            <v>0</v>
          </cell>
          <cell r="P56">
            <v>0</v>
          </cell>
          <cell r="R56">
            <v>0</v>
          </cell>
          <cell r="U56">
            <v>0</v>
          </cell>
          <cell r="X56">
            <v>0</v>
          </cell>
          <cell r="BC56" t="str">
            <v>Exit</v>
          </cell>
          <cell r="BH56" t="str">
            <v>Y</v>
          </cell>
          <cell r="BI56" t="str">
            <v>Y</v>
          </cell>
        </row>
        <row r="57">
          <cell r="H57">
            <v>0</v>
          </cell>
          <cell r="I57">
            <v>0</v>
          </cell>
          <cell r="BC57" t="str">
            <v>Exit</v>
          </cell>
          <cell r="BH57" t="str">
            <v>Y</v>
          </cell>
          <cell r="BI57" t="str">
            <v>Y</v>
          </cell>
        </row>
        <row r="58">
          <cell r="J58">
            <v>0</v>
          </cell>
          <cell r="L58">
            <v>0</v>
          </cell>
          <cell r="N58">
            <v>0</v>
          </cell>
          <cell r="P58">
            <v>0</v>
          </cell>
          <cell r="R58">
            <v>0</v>
          </cell>
          <cell r="U58">
            <v>3</v>
          </cell>
          <cell r="X58">
            <v>0</v>
          </cell>
          <cell r="BC58" t="str">
            <v>Entry</v>
          </cell>
          <cell r="BH58" t="str">
            <v>Y</v>
          </cell>
          <cell r="BI58" t="str">
            <v>Y</v>
          </cell>
        </row>
        <row r="59">
          <cell r="H59">
            <v>0</v>
          </cell>
          <cell r="I59">
            <v>0</v>
          </cell>
          <cell r="BC59" t="str">
            <v>Entry</v>
          </cell>
          <cell r="BH59" t="str">
            <v>Y</v>
          </cell>
          <cell r="BI59" t="str">
            <v>Y</v>
          </cell>
        </row>
        <row r="60">
          <cell r="H60">
            <v>0</v>
          </cell>
          <cell r="I60">
            <v>0</v>
          </cell>
          <cell r="BC60" t="str">
            <v>Exit</v>
          </cell>
          <cell r="BH60" t="str">
            <v>Y</v>
          </cell>
          <cell r="BI60" t="str">
            <v>Y</v>
          </cell>
        </row>
        <row r="61">
          <cell r="J61">
            <v>0</v>
          </cell>
          <cell r="L61">
            <v>0</v>
          </cell>
          <cell r="N61">
            <v>0</v>
          </cell>
          <cell r="P61">
            <v>0</v>
          </cell>
          <cell r="R61">
            <v>0</v>
          </cell>
          <cell r="U61">
            <v>3</v>
          </cell>
          <cell r="X61">
            <v>0</v>
          </cell>
          <cell r="BC61" t="str">
            <v>Exit</v>
          </cell>
          <cell r="BH61" t="str">
            <v>Y</v>
          </cell>
          <cell r="BI61" t="str">
            <v>Y</v>
          </cell>
        </row>
        <row r="62">
          <cell r="J62">
            <v>0</v>
          </cell>
          <cell r="L62">
            <v>0</v>
          </cell>
          <cell r="N62">
            <v>0</v>
          </cell>
          <cell r="P62">
            <v>0</v>
          </cell>
          <cell r="R62">
            <v>0</v>
          </cell>
          <cell r="U62">
            <v>0</v>
          </cell>
          <cell r="X62">
            <v>0</v>
          </cell>
          <cell r="BC62" t="str">
            <v>Entry</v>
          </cell>
          <cell r="BH62" t="str">
            <v>Y</v>
          </cell>
          <cell r="BI62" t="str">
            <v>Y</v>
          </cell>
        </row>
        <row r="63">
          <cell r="H63">
            <v>1</v>
          </cell>
          <cell r="I63">
            <v>1</v>
          </cell>
          <cell r="BC63" t="str">
            <v>Entry</v>
          </cell>
          <cell r="BH63" t="str">
            <v>Y</v>
          </cell>
          <cell r="BI63" t="str">
            <v>Y</v>
          </cell>
        </row>
        <row r="64">
          <cell r="H64">
            <v>1</v>
          </cell>
          <cell r="I64">
            <v>1</v>
          </cell>
          <cell r="BC64" t="str">
            <v>Neither</v>
          </cell>
          <cell r="BH64" t="str">
            <v>Y</v>
          </cell>
          <cell r="BI64" t="str">
            <v>Y</v>
          </cell>
        </row>
        <row r="65">
          <cell r="H65">
            <v>1</v>
          </cell>
          <cell r="I65">
            <v>1</v>
          </cell>
          <cell r="BC65" t="str">
            <v>Exit</v>
          </cell>
          <cell r="BH65" t="str">
            <v>Y</v>
          </cell>
          <cell r="BI65" t="str">
            <v>Y</v>
          </cell>
        </row>
        <row r="66">
          <cell r="H66">
            <v>0</v>
          </cell>
          <cell r="I66">
            <v>0</v>
          </cell>
          <cell r="BC66" t="str">
            <v>Entry</v>
          </cell>
          <cell r="BH66" t="str">
            <v>Y</v>
          </cell>
          <cell r="BI66" t="str">
            <v>Y</v>
          </cell>
        </row>
        <row r="67">
          <cell r="J67">
            <v>0</v>
          </cell>
          <cell r="L67">
            <v>0</v>
          </cell>
          <cell r="P67">
            <v>0</v>
          </cell>
          <cell r="R67">
            <v>0</v>
          </cell>
          <cell r="U67">
            <v>0</v>
          </cell>
          <cell r="X67">
            <v>0</v>
          </cell>
          <cell r="BC67" t="str">
            <v>Entry</v>
          </cell>
          <cell r="BH67" t="str">
            <v>Y</v>
          </cell>
          <cell r="BI67" t="str">
            <v>Y</v>
          </cell>
        </row>
        <row r="68">
          <cell r="H68">
            <v>0</v>
          </cell>
          <cell r="I68">
            <v>0</v>
          </cell>
          <cell r="BC68" t="str">
            <v>Exit</v>
          </cell>
          <cell r="BH68" t="str">
            <v>Y</v>
          </cell>
          <cell r="BI68" t="str">
            <v>Y</v>
          </cell>
        </row>
        <row r="69">
          <cell r="J69">
            <v>0</v>
          </cell>
          <cell r="L69">
            <v>0</v>
          </cell>
          <cell r="P69">
            <v>0</v>
          </cell>
          <cell r="R69">
            <v>0</v>
          </cell>
          <cell r="U69">
            <v>0</v>
          </cell>
          <cell r="X69">
            <v>0</v>
          </cell>
          <cell r="BC69" t="str">
            <v>Entry</v>
          </cell>
          <cell r="BH69" t="str">
            <v>Y</v>
          </cell>
          <cell r="BI69" t="str">
            <v>Y</v>
          </cell>
        </row>
        <row r="70">
          <cell r="H70">
            <v>0</v>
          </cell>
          <cell r="I70">
            <v>0</v>
          </cell>
          <cell r="BC70" t="str">
            <v>Entry</v>
          </cell>
          <cell r="BH70" t="str">
            <v>Y</v>
          </cell>
          <cell r="BI70" t="str">
            <v>Y</v>
          </cell>
        </row>
        <row r="71">
          <cell r="H71">
            <v>0</v>
          </cell>
          <cell r="I71">
            <v>0</v>
          </cell>
          <cell r="BC71" t="str">
            <v>Exit</v>
          </cell>
          <cell r="BH71" t="str">
            <v>Y</v>
          </cell>
          <cell r="BI71" t="str">
            <v>Y</v>
          </cell>
        </row>
        <row r="72">
          <cell r="H72">
            <v>0</v>
          </cell>
          <cell r="I72">
            <v>0</v>
          </cell>
          <cell r="BC72" t="str">
            <v>Entry</v>
          </cell>
          <cell r="BH72" t="str">
            <v>Y</v>
          </cell>
          <cell r="BI72" t="str">
            <v>Y</v>
          </cell>
        </row>
        <row r="73">
          <cell r="J73">
            <v>0</v>
          </cell>
          <cell r="L73">
            <v>0</v>
          </cell>
          <cell r="N73">
            <v>0</v>
          </cell>
          <cell r="P73">
            <v>0</v>
          </cell>
          <cell r="R73">
            <v>0</v>
          </cell>
          <cell r="U73">
            <v>2</v>
          </cell>
          <cell r="X73">
            <v>0</v>
          </cell>
          <cell r="BC73" t="str">
            <v>Entry</v>
          </cell>
          <cell r="BH73" t="str">
            <v>Y</v>
          </cell>
          <cell r="BI73" t="str">
            <v>Y</v>
          </cell>
        </row>
        <row r="74">
          <cell r="H74">
            <v>1</v>
          </cell>
          <cell r="I74">
            <v>0</v>
          </cell>
          <cell r="BC74" t="str">
            <v>Exit</v>
          </cell>
          <cell r="BH74" t="str">
            <v>Y</v>
          </cell>
          <cell r="BI74" t="str">
            <v>Y</v>
          </cell>
        </row>
        <row r="75">
          <cell r="J75">
            <v>0</v>
          </cell>
          <cell r="L75">
            <v>0</v>
          </cell>
          <cell r="N75">
            <v>0</v>
          </cell>
          <cell r="P75">
            <v>0</v>
          </cell>
          <cell r="R75">
            <v>0</v>
          </cell>
          <cell r="U75">
            <v>2</v>
          </cell>
          <cell r="X75">
            <v>0</v>
          </cell>
          <cell r="BC75" t="str">
            <v>Exit</v>
          </cell>
          <cell r="BH75" t="str">
            <v>Y</v>
          </cell>
          <cell r="BI75" t="str">
            <v>Y</v>
          </cell>
        </row>
        <row r="76">
          <cell r="H76">
            <v>0</v>
          </cell>
          <cell r="I76">
            <v>0</v>
          </cell>
          <cell r="BC76" t="str">
            <v>Entry</v>
          </cell>
          <cell r="BH76" t="str">
            <v>Y</v>
          </cell>
          <cell r="BI76" t="str">
            <v>Y</v>
          </cell>
        </row>
        <row r="77">
          <cell r="J77">
            <v>1</v>
          </cell>
          <cell r="L77">
            <v>0</v>
          </cell>
          <cell r="N77">
            <v>0</v>
          </cell>
          <cell r="P77">
            <v>0</v>
          </cell>
          <cell r="R77">
            <v>0</v>
          </cell>
          <cell r="U77">
            <v>1</v>
          </cell>
          <cell r="X77">
            <v>0</v>
          </cell>
          <cell r="BC77" t="str">
            <v>Entry</v>
          </cell>
          <cell r="BH77" t="str">
            <v>Y</v>
          </cell>
          <cell r="BI77" t="str">
            <v>Y</v>
          </cell>
        </row>
        <row r="78">
          <cell r="H78">
            <v>0</v>
          </cell>
          <cell r="I78">
            <v>0</v>
          </cell>
          <cell r="BC78" t="str">
            <v>Exit</v>
          </cell>
          <cell r="BH78" t="str">
            <v>Y</v>
          </cell>
          <cell r="BI78" t="str">
            <v>Y</v>
          </cell>
        </row>
        <row r="79">
          <cell r="J79">
            <v>1</v>
          </cell>
          <cell r="L79">
            <v>0</v>
          </cell>
          <cell r="N79">
            <v>0</v>
          </cell>
          <cell r="P79">
            <v>0</v>
          </cell>
          <cell r="R79">
            <v>0</v>
          </cell>
          <cell r="U79">
            <v>1</v>
          </cell>
          <cell r="X79">
            <v>0</v>
          </cell>
          <cell r="BC79" t="str">
            <v>Exit</v>
          </cell>
          <cell r="BH79" t="str">
            <v>Y</v>
          </cell>
          <cell r="BI79" t="str">
            <v>Y</v>
          </cell>
        </row>
        <row r="80">
          <cell r="J80">
            <v>1</v>
          </cell>
          <cell r="L80">
            <v>0</v>
          </cell>
          <cell r="N80">
            <v>0</v>
          </cell>
          <cell r="P80">
            <v>1</v>
          </cell>
          <cell r="R80">
            <v>0</v>
          </cell>
          <cell r="U80">
            <v>0</v>
          </cell>
          <cell r="X80">
            <v>0</v>
          </cell>
          <cell r="BC80" t="str">
            <v>Entry</v>
          </cell>
          <cell r="BH80" t="str">
            <v>Y</v>
          </cell>
          <cell r="BI80" t="str">
            <v>Y</v>
          </cell>
        </row>
        <row r="81">
          <cell r="H81">
            <v>0</v>
          </cell>
          <cell r="I81">
            <v>1</v>
          </cell>
          <cell r="BC81" t="str">
            <v>Entry</v>
          </cell>
          <cell r="BH81" t="str">
            <v>Y</v>
          </cell>
          <cell r="BI81" t="str">
            <v>Y</v>
          </cell>
        </row>
        <row r="82">
          <cell r="H82">
            <v>0</v>
          </cell>
          <cell r="I82">
            <v>1</v>
          </cell>
          <cell r="BC82" t="str">
            <v>Exit</v>
          </cell>
          <cell r="BH82" t="str">
            <v>Y</v>
          </cell>
          <cell r="BI82" t="str">
            <v>Y</v>
          </cell>
        </row>
        <row r="83">
          <cell r="J83">
            <v>1</v>
          </cell>
          <cell r="L83">
            <v>0</v>
          </cell>
          <cell r="N83">
            <v>0</v>
          </cell>
          <cell r="P83">
            <v>1</v>
          </cell>
          <cell r="R83">
            <v>0</v>
          </cell>
          <cell r="U83">
            <v>0</v>
          </cell>
          <cell r="X83">
            <v>0</v>
          </cell>
          <cell r="BC83" t="str">
            <v>Exit</v>
          </cell>
          <cell r="BH83" t="str">
            <v>Y</v>
          </cell>
          <cell r="BI83" t="str">
            <v>Y</v>
          </cell>
        </row>
        <row r="84">
          <cell r="J84">
            <v>1</v>
          </cell>
          <cell r="L84">
            <v>0</v>
          </cell>
          <cell r="N84">
            <v>0</v>
          </cell>
          <cell r="P84">
            <v>0</v>
          </cell>
          <cell r="R84">
            <v>0</v>
          </cell>
          <cell r="U84">
            <v>0</v>
          </cell>
          <cell r="X84">
            <v>0</v>
          </cell>
          <cell r="BC84" t="str">
            <v>Entry</v>
          </cell>
          <cell r="BH84" t="str">
            <v>Y</v>
          </cell>
          <cell r="BI84" t="str">
            <v>Y</v>
          </cell>
        </row>
        <row r="85">
          <cell r="H85">
            <v>0</v>
          </cell>
          <cell r="I85">
            <v>0</v>
          </cell>
          <cell r="BC85" t="str">
            <v>Entry</v>
          </cell>
          <cell r="BH85" t="str">
            <v>Y</v>
          </cell>
          <cell r="BI85" t="str">
            <v>Y</v>
          </cell>
        </row>
        <row r="86">
          <cell r="J86">
            <v>1</v>
          </cell>
          <cell r="L86">
            <v>0</v>
          </cell>
          <cell r="N86">
            <v>0</v>
          </cell>
          <cell r="P86">
            <v>0</v>
          </cell>
          <cell r="R86">
            <v>1</v>
          </cell>
          <cell r="U86">
            <v>0</v>
          </cell>
          <cell r="X86">
            <v>0</v>
          </cell>
          <cell r="BC86" t="str">
            <v>Exit</v>
          </cell>
          <cell r="BH86" t="str">
            <v>Y</v>
          </cell>
          <cell r="BI86" t="str">
            <v>Y</v>
          </cell>
        </row>
        <row r="87">
          <cell r="H87">
            <v>0</v>
          </cell>
          <cell r="I87">
            <v>1</v>
          </cell>
          <cell r="BC87" t="str">
            <v>Exit</v>
          </cell>
          <cell r="BH87" t="str">
            <v>Y</v>
          </cell>
          <cell r="BI87" t="str">
            <v>Y</v>
          </cell>
        </row>
        <row r="88">
          <cell r="J88">
            <v>0</v>
          </cell>
          <cell r="L88">
            <v>0</v>
          </cell>
          <cell r="N88">
            <v>0</v>
          </cell>
          <cell r="P88">
            <v>0</v>
          </cell>
          <cell r="R88">
            <v>0</v>
          </cell>
          <cell r="U88">
            <v>2</v>
          </cell>
          <cell r="X88">
            <v>0</v>
          </cell>
          <cell r="BC88" t="str">
            <v>Entry</v>
          </cell>
          <cell r="BH88" t="str">
            <v>Y</v>
          </cell>
          <cell r="BI88" t="str">
            <v>Y</v>
          </cell>
        </row>
        <row r="89">
          <cell r="H89">
            <v>0</v>
          </cell>
          <cell r="I89">
            <v>1</v>
          </cell>
          <cell r="BC89" t="str">
            <v>Entry</v>
          </cell>
          <cell r="BH89" t="str">
            <v>Y</v>
          </cell>
          <cell r="BI89" t="str">
            <v>Y</v>
          </cell>
        </row>
        <row r="90">
          <cell r="J90">
            <v>0</v>
          </cell>
          <cell r="L90">
            <v>0</v>
          </cell>
          <cell r="N90">
            <v>0</v>
          </cell>
          <cell r="P90">
            <v>0</v>
          </cell>
          <cell r="R90">
            <v>0</v>
          </cell>
          <cell r="U90">
            <v>2</v>
          </cell>
          <cell r="X90">
            <v>0</v>
          </cell>
          <cell r="BC90" t="str">
            <v>Exit</v>
          </cell>
          <cell r="BH90" t="str">
            <v>Y</v>
          </cell>
          <cell r="BI90" t="str">
            <v>Y</v>
          </cell>
        </row>
        <row r="91">
          <cell r="H91">
            <v>0</v>
          </cell>
          <cell r="I91">
            <v>1</v>
          </cell>
          <cell r="BC91" t="str">
            <v>Exit</v>
          </cell>
          <cell r="BH91" t="str">
            <v>Y</v>
          </cell>
          <cell r="BI91" t="str">
            <v>Y</v>
          </cell>
        </row>
        <row r="92">
          <cell r="H92">
            <v>0</v>
          </cell>
          <cell r="I92">
            <v>1</v>
          </cell>
          <cell r="BC92" t="str">
            <v>Entry</v>
          </cell>
          <cell r="BH92" t="str">
            <v>Y</v>
          </cell>
          <cell r="BI92" t="str">
            <v>Y</v>
          </cell>
        </row>
        <row r="93">
          <cell r="J93">
            <v>0</v>
          </cell>
          <cell r="L93">
            <v>0</v>
          </cell>
          <cell r="N93">
            <v>0</v>
          </cell>
          <cell r="P93">
            <v>0</v>
          </cell>
          <cell r="R93">
            <v>0</v>
          </cell>
          <cell r="U93">
            <v>2</v>
          </cell>
          <cell r="X93">
            <v>0</v>
          </cell>
          <cell r="BC93" t="str">
            <v>Entry</v>
          </cell>
          <cell r="BH93" t="str">
            <v>Y</v>
          </cell>
          <cell r="BI93" t="str">
            <v>Y</v>
          </cell>
        </row>
        <row r="94">
          <cell r="J94">
            <v>0</v>
          </cell>
          <cell r="L94">
            <v>0</v>
          </cell>
          <cell r="N94">
            <v>0</v>
          </cell>
          <cell r="P94">
            <v>0</v>
          </cell>
          <cell r="R94">
            <v>0</v>
          </cell>
          <cell r="U94">
            <v>2</v>
          </cell>
          <cell r="X94">
            <v>0</v>
          </cell>
          <cell r="BC94" t="str">
            <v>Exit</v>
          </cell>
          <cell r="BH94" t="str">
            <v>Y</v>
          </cell>
          <cell r="BI94" t="str">
            <v>Y</v>
          </cell>
        </row>
        <row r="95">
          <cell r="H95">
            <v>0</v>
          </cell>
          <cell r="I95">
            <v>1</v>
          </cell>
          <cell r="BC95" t="str">
            <v>Exit</v>
          </cell>
          <cell r="BH95" t="str">
            <v>Y</v>
          </cell>
          <cell r="BI95" t="str">
            <v>Y</v>
          </cell>
        </row>
        <row r="96">
          <cell r="H96">
            <v>0</v>
          </cell>
          <cell r="I96">
            <v>0</v>
          </cell>
          <cell r="BC96" t="str">
            <v>Entry</v>
          </cell>
          <cell r="BH96" t="str">
            <v>Y</v>
          </cell>
          <cell r="BI96" t="str">
            <v>Y</v>
          </cell>
        </row>
        <row r="97">
          <cell r="J97">
            <v>0</v>
          </cell>
          <cell r="L97">
            <v>0</v>
          </cell>
          <cell r="P97">
            <v>0</v>
          </cell>
          <cell r="R97">
            <v>0</v>
          </cell>
          <cell r="U97">
            <v>0</v>
          </cell>
          <cell r="X97">
            <v>0</v>
          </cell>
          <cell r="BC97" t="str">
            <v>Entry</v>
          </cell>
          <cell r="BH97" t="str">
            <v>Y</v>
          </cell>
          <cell r="BI97" t="str">
            <v>Y</v>
          </cell>
        </row>
        <row r="98">
          <cell r="H98">
            <v>0</v>
          </cell>
          <cell r="I98">
            <v>0</v>
          </cell>
          <cell r="BC98" t="str">
            <v>Exit</v>
          </cell>
          <cell r="BH98" t="str">
            <v>Y</v>
          </cell>
          <cell r="BI98" t="str">
            <v>Y</v>
          </cell>
        </row>
        <row r="99">
          <cell r="J99">
            <v>0</v>
          </cell>
          <cell r="L99">
            <v>0</v>
          </cell>
          <cell r="P99">
            <v>0</v>
          </cell>
          <cell r="R99">
            <v>0</v>
          </cell>
          <cell r="U99">
            <v>0</v>
          </cell>
          <cell r="X99">
            <v>0</v>
          </cell>
          <cell r="BC99" t="str">
            <v>Exit</v>
          </cell>
          <cell r="BH99" t="str">
            <v>Y</v>
          </cell>
          <cell r="BI99" t="str">
            <v>Y</v>
          </cell>
        </row>
        <row r="100">
          <cell r="H100">
            <v>0</v>
          </cell>
          <cell r="I100">
            <v>0</v>
          </cell>
          <cell r="BC100" t="str">
            <v>Entry</v>
          </cell>
          <cell r="BH100" t="str">
            <v>Y</v>
          </cell>
          <cell r="BI100" t="str">
            <v>Y</v>
          </cell>
        </row>
        <row r="101">
          <cell r="J101">
            <v>0</v>
          </cell>
          <cell r="L101">
            <v>0</v>
          </cell>
          <cell r="N101">
            <v>0</v>
          </cell>
          <cell r="P101">
            <v>0</v>
          </cell>
          <cell r="R101">
            <v>0</v>
          </cell>
          <cell r="U101">
            <v>0</v>
          </cell>
          <cell r="X101">
            <v>0</v>
          </cell>
          <cell r="BC101" t="str">
            <v>Entry</v>
          </cell>
          <cell r="BH101" t="str">
            <v>Y</v>
          </cell>
          <cell r="BI101" t="str">
            <v>Y</v>
          </cell>
        </row>
        <row r="102">
          <cell r="J102">
            <v>0</v>
          </cell>
          <cell r="L102">
            <v>0</v>
          </cell>
          <cell r="N102">
            <v>1</v>
          </cell>
          <cell r="P102">
            <v>0</v>
          </cell>
          <cell r="R102">
            <v>0</v>
          </cell>
          <cell r="U102">
            <v>0</v>
          </cell>
          <cell r="X102">
            <v>0</v>
          </cell>
          <cell r="BC102" t="str">
            <v>Exit</v>
          </cell>
          <cell r="BH102" t="str">
            <v>Y</v>
          </cell>
          <cell r="BI102" t="str">
            <v>Y</v>
          </cell>
        </row>
        <row r="103">
          <cell r="H103">
            <v>0</v>
          </cell>
          <cell r="I103">
            <v>0</v>
          </cell>
          <cell r="BC103" t="str">
            <v>Exit</v>
          </cell>
          <cell r="BH103" t="str">
            <v>Y</v>
          </cell>
          <cell r="BI103" t="str">
            <v>Y</v>
          </cell>
        </row>
        <row r="104">
          <cell r="H104">
            <v>0</v>
          </cell>
          <cell r="I104">
            <v>1</v>
          </cell>
          <cell r="BC104" t="str">
            <v>Entry</v>
          </cell>
          <cell r="BH104" t="str">
            <v>Y</v>
          </cell>
          <cell r="BI104" t="str">
            <v>Y</v>
          </cell>
        </row>
        <row r="105">
          <cell r="J105">
            <v>1</v>
          </cell>
          <cell r="L105">
            <v>0</v>
          </cell>
          <cell r="N105">
            <v>0</v>
          </cell>
          <cell r="P105">
            <v>0</v>
          </cell>
          <cell r="R105">
            <v>0</v>
          </cell>
          <cell r="U105">
            <v>1</v>
          </cell>
          <cell r="X105">
            <v>0</v>
          </cell>
          <cell r="BC105" t="str">
            <v>Entry</v>
          </cell>
          <cell r="BH105" t="str">
            <v>Y</v>
          </cell>
          <cell r="BI105" t="str">
            <v>Y</v>
          </cell>
        </row>
        <row r="106">
          <cell r="H106">
            <v>0</v>
          </cell>
          <cell r="I106">
            <v>1</v>
          </cell>
          <cell r="BC106" t="str">
            <v>Exit</v>
          </cell>
          <cell r="BH106" t="str">
            <v>Y</v>
          </cell>
          <cell r="BI106" t="str">
            <v>Y</v>
          </cell>
        </row>
        <row r="107">
          <cell r="J107">
            <v>1</v>
          </cell>
          <cell r="L107">
            <v>0</v>
          </cell>
          <cell r="N107">
            <v>0</v>
          </cell>
          <cell r="P107">
            <v>0</v>
          </cell>
          <cell r="R107">
            <v>0</v>
          </cell>
          <cell r="U107">
            <v>1</v>
          </cell>
          <cell r="X107">
            <v>0</v>
          </cell>
          <cell r="BC107" t="str">
            <v>Exit</v>
          </cell>
          <cell r="BH107" t="str">
            <v>Y</v>
          </cell>
          <cell r="BI107" t="str">
            <v>Y</v>
          </cell>
        </row>
        <row r="108">
          <cell r="H108">
            <v>0</v>
          </cell>
          <cell r="I108">
            <v>0</v>
          </cell>
          <cell r="BC108" t="str">
            <v>Entry</v>
          </cell>
          <cell r="BH108" t="str">
            <v>Y</v>
          </cell>
          <cell r="BI108" t="str">
            <v>Y</v>
          </cell>
        </row>
        <row r="109">
          <cell r="J109">
            <v>0</v>
          </cell>
          <cell r="L109">
            <v>0</v>
          </cell>
          <cell r="N109">
            <v>0</v>
          </cell>
          <cell r="P109">
            <v>0</v>
          </cell>
          <cell r="R109">
            <v>0</v>
          </cell>
          <cell r="U109">
            <v>1</v>
          </cell>
          <cell r="X109">
            <v>1</v>
          </cell>
          <cell r="Y109">
            <v>3</v>
          </cell>
          <cell r="BC109" t="str">
            <v>Entry</v>
          </cell>
          <cell r="BH109" t="str">
            <v>Y</v>
          </cell>
          <cell r="BI109" t="str">
            <v>Y</v>
          </cell>
        </row>
        <row r="110">
          <cell r="H110">
            <v>0</v>
          </cell>
          <cell r="I110">
            <v>0</v>
          </cell>
          <cell r="BC110" t="str">
            <v>Exit</v>
          </cell>
          <cell r="BH110" t="str">
            <v>Y</v>
          </cell>
          <cell r="BI110" t="str">
            <v>Y</v>
          </cell>
        </row>
        <row r="111">
          <cell r="J111">
            <v>0</v>
          </cell>
          <cell r="L111">
            <v>0</v>
          </cell>
          <cell r="N111">
            <v>0</v>
          </cell>
          <cell r="P111">
            <v>0</v>
          </cell>
          <cell r="R111">
            <v>0</v>
          </cell>
          <cell r="U111">
            <v>1</v>
          </cell>
          <cell r="X111">
            <v>1</v>
          </cell>
          <cell r="Y111">
            <v>3</v>
          </cell>
          <cell r="BC111" t="str">
            <v>Exit</v>
          </cell>
          <cell r="BH111" t="str">
            <v>Y</v>
          </cell>
          <cell r="BI111" t="str">
            <v>Y</v>
          </cell>
        </row>
        <row r="112">
          <cell r="J112">
            <v>1</v>
          </cell>
          <cell r="L112">
            <v>0</v>
          </cell>
          <cell r="N112">
            <v>0</v>
          </cell>
          <cell r="P112">
            <v>0</v>
          </cell>
          <cell r="R112">
            <v>0</v>
          </cell>
          <cell r="U112">
            <v>0</v>
          </cell>
          <cell r="X112">
            <v>0</v>
          </cell>
          <cell r="BC112" t="str">
            <v>Entry</v>
          </cell>
          <cell r="BH112" t="str">
            <v>Y</v>
          </cell>
          <cell r="BI112" t="str">
            <v>Y</v>
          </cell>
        </row>
        <row r="113">
          <cell r="H113">
            <v>0</v>
          </cell>
          <cell r="I113">
            <v>0</v>
          </cell>
          <cell r="BC113" t="str">
            <v>Entry</v>
          </cell>
          <cell r="BH113" t="str">
            <v>Y</v>
          </cell>
          <cell r="BI113" t="str">
            <v>Y</v>
          </cell>
        </row>
        <row r="114">
          <cell r="H114">
            <v>1</v>
          </cell>
          <cell r="I114">
            <v>0</v>
          </cell>
          <cell r="BC114" t="str">
            <v>Exit</v>
          </cell>
          <cell r="BH114" t="str">
            <v>Y</v>
          </cell>
          <cell r="BI114" t="str">
            <v>Y</v>
          </cell>
        </row>
        <row r="115">
          <cell r="J115">
            <v>0</v>
          </cell>
          <cell r="L115">
            <v>0</v>
          </cell>
          <cell r="N115">
            <v>0</v>
          </cell>
          <cell r="P115">
            <v>0</v>
          </cell>
          <cell r="R115">
            <v>0</v>
          </cell>
          <cell r="U115">
            <v>1</v>
          </cell>
          <cell r="X115">
            <v>0</v>
          </cell>
          <cell r="BC115" t="str">
            <v>Exit</v>
          </cell>
          <cell r="BH115" t="str">
            <v>Y</v>
          </cell>
          <cell r="BI115" t="str">
            <v>Y</v>
          </cell>
        </row>
        <row r="116">
          <cell r="H116">
            <v>0</v>
          </cell>
          <cell r="I116">
            <v>1</v>
          </cell>
          <cell r="BC116" t="str">
            <v>Entry</v>
          </cell>
          <cell r="BH116" t="str">
            <v>Y</v>
          </cell>
          <cell r="BI116" t="str">
            <v>Y</v>
          </cell>
        </row>
        <row r="117">
          <cell r="J117">
            <v>1</v>
          </cell>
          <cell r="L117">
            <v>0</v>
          </cell>
          <cell r="N117">
            <v>0</v>
          </cell>
          <cell r="P117">
            <v>0</v>
          </cell>
          <cell r="R117">
            <v>0</v>
          </cell>
          <cell r="U117">
            <v>1</v>
          </cell>
          <cell r="X117">
            <v>0</v>
          </cell>
          <cell r="BC117" t="str">
            <v>Entry</v>
          </cell>
          <cell r="BH117" t="str">
            <v>Y</v>
          </cell>
          <cell r="BI117" t="str">
            <v>Y</v>
          </cell>
        </row>
        <row r="118">
          <cell r="H118">
            <v>0</v>
          </cell>
          <cell r="I118">
            <v>1</v>
          </cell>
          <cell r="BC118" t="str">
            <v>Exit</v>
          </cell>
          <cell r="BH118" t="str">
            <v>Y</v>
          </cell>
          <cell r="BI118" t="str">
            <v>Y</v>
          </cell>
        </row>
        <row r="119">
          <cell r="J119">
            <v>1</v>
          </cell>
          <cell r="L119">
            <v>0</v>
          </cell>
          <cell r="N119">
            <v>0</v>
          </cell>
          <cell r="P119">
            <v>0</v>
          </cell>
          <cell r="R119">
            <v>0</v>
          </cell>
          <cell r="U119">
            <v>1</v>
          </cell>
          <cell r="X119">
            <v>0</v>
          </cell>
          <cell r="BC119" t="str">
            <v>Exit</v>
          </cell>
          <cell r="BH119" t="str">
            <v>Y</v>
          </cell>
          <cell r="BI119" t="str">
            <v>Y</v>
          </cell>
        </row>
        <row r="120">
          <cell r="J120">
            <v>0</v>
          </cell>
          <cell r="L120">
            <v>0</v>
          </cell>
          <cell r="N120">
            <v>0</v>
          </cell>
          <cell r="P120">
            <v>0</v>
          </cell>
          <cell r="R120">
            <v>0</v>
          </cell>
          <cell r="U120">
            <v>0</v>
          </cell>
          <cell r="X120">
            <v>0</v>
          </cell>
          <cell r="BC120" t="str">
            <v>Entry</v>
          </cell>
          <cell r="BH120" t="str">
            <v>Y</v>
          </cell>
          <cell r="BI120" t="str">
            <v>Y</v>
          </cell>
        </row>
        <row r="121">
          <cell r="H121">
            <v>0</v>
          </cell>
          <cell r="I121">
            <v>0</v>
          </cell>
          <cell r="BC121" t="str">
            <v>Entry</v>
          </cell>
          <cell r="BH121" t="str">
            <v>Y</v>
          </cell>
          <cell r="BI121" t="str">
            <v>Y</v>
          </cell>
        </row>
        <row r="122">
          <cell r="H122">
            <v>0</v>
          </cell>
          <cell r="I122">
            <v>0</v>
          </cell>
          <cell r="BC122" t="str">
            <v>Entry</v>
          </cell>
          <cell r="BH122" t="str">
            <v>Y</v>
          </cell>
          <cell r="BI122" t="str">
            <v>Y</v>
          </cell>
        </row>
        <row r="123">
          <cell r="J123">
            <v>1</v>
          </cell>
          <cell r="L123">
            <v>0</v>
          </cell>
          <cell r="N123">
            <v>0</v>
          </cell>
          <cell r="P123">
            <v>0</v>
          </cell>
          <cell r="R123">
            <v>0</v>
          </cell>
          <cell r="U123">
            <v>1</v>
          </cell>
          <cell r="X123">
            <v>0</v>
          </cell>
          <cell r="BC123" t="str">
            <v>Entry</v>
          </cell>
          <cell r="BH123" t="str">
            <v>Y</v>
          </cell>
          <cell r="BI123" t="str">
            <v>Y</v>
          </cell>
        </row>
        <row r="124">
          <cell r="J124">
            <v>1</v>
          </cell>
          <cell r="L124">
            <v>0</v>
          </cell>
          <cell r="N124">
            <v>0</v>
          </cell>
          <cell r="P124">
            <v>0</v>
          </cell>
          <cell r="R124">
            <v>0</v>
          </cell>
          <cell r="U124">
            <v>1</v>
          </cell>
          <cell r="X124">
            <v>0</v>
          </cell>
          <cell r="BC124" t="str">
            <v>Exit</v>
          </cell>
          <cell r="BH124" t="str">
            <v>Y</v>
          </cell>
          <cell r="BI124" t="str">
            <v>Y</v>
          </cell>
        </row>
        <row r="125">
          <cell r="H125">
            <v>1</v>
          </cell>
          <cell r="I125">
            <v>0</v>
          </cell>
          <cell r="BC125" t="str">
            <v>Exit</v>
          </cell>
          <cell r="BH125" t="str">
            <v>Y</v>
          </cell>
          <cell r="BI125" t="str">
            <v>Y</v>
          </cell>
        </row>
        <row r="126">
          <cell r="H126">
            <v>1</v>
          </cell>
          <cell r="I126">
            <v>1</v>
          </cell>
          <cell r="BC126" t="str">
            <v>Entry</v>
          </cell>
          <cell r="BH126" t="str">
            <v>Y</v>
          </cell>
          <cell r="BI126" t="str">
            <v>Y</v>
          </cell>
        </row>
        <row r="127">
          <cell r="J127">
            <v>0</v>
          </cell>
          <cell r="L127">
            <v>0</v>
          </cell>
          <cell r="N127">
            <v>0</v>
          </cell>
          <cell r="P127">
            <v>0</v>
          </cell>
          <cell r="R127">
            <v>0</v>
          </cell>
          <cell r="U127">
            <v>0</v>
          </cell>
          <cell r="X127">
            <v>0</v>
          </cell>
          <cell r="BC127" t="str">
            <v>Entry</v>
          </cell>
          <cell r="BH127" t="str">
            <v>Y</v>
          </cell>
          <cell r="BI127" t="str">
            <v>Y</v>
          </cell>
        </row>
        <row r="128">
          <cell r="J128">
            <v>0</v>
          </cell>
          <cell r="L128">
            <v>0</v>
          </cell>
          <cell r="N128">
            <v>1</v>
          </cell>
          <cell r="P128">
            <v>0</v>
          </cell>
          <cell r="R128">
            <v>0</v>
          </cell>
          <cell r="U128">
            <v>0</v>
          </cell>
          <cell r="X128">
            <v>0</v>
          </cell>
          <cell r="BC128" t="str">
            <v>Entry</v>
          </cell>
          <cell r="BH128" t="str">
            <v>Y</v>
          </cell>
          <cell r="BI128" t="str">
            <v>Y</v>
          </cell>
        </row>
        <row r="129">
          <cell r="H129">
            <v>0</v>
          </cell>
          <cell r="I129">
            <v>0</v>
          </cell>
          <cell r="BC129" t="str">
            <v>Entry</v>
          </cell>
          <cell r="BH129" t="str">
            <v>Y</v>
          </cell>
          <cell r="BI129" t="str">
            <v>Y</v>
          </cell>
        </row>
        <row r="130">
          <cell r="H130">
            <v>1</v>
          </cell>
          <cell r="I130">
            <v>1</v>
          </cell>
          <cell r="BC130" t="str">
            <v>Entry</v>
          </cell>
          <cell r="BH130" t="str">
            <v>Y</v>
          </cell>
          <cell r="BI130" t="str">
            <v>Y</v>
          </cell>
        </row>
        <row r="131">
          <cell r="J131">
            <v>0</v>
          </cell>
          <cell r="L131">
            <v>0</v>
          </cell>
          <cell r="N131">
            <v>0</v>
          </cell>
          <cell r="P131">
            <v>0</v>
          </cell>
          <cell r="R131">
            <v>0</v>
          </cell>
          <cell r="U131">
            <v>0</v>
          </cell>
          <cell r="X131">
            <v>1</v>
          </cell>
          <cell r="Y131">
            <v>3</v>
          </cell>
          <cell r="BC131" t="str">
            <v>Entry</v>
          </cell>
          <cell r="BH131" t="str">
            <v>Y</v>
          </cell>
          <cell r="BI131" t="str">
            <v>Y</v>
          </cell>
        </row>
        <row r="132">
          <cell r="J132">
            <v>0</v>
          </cell>
          <cell r="L132">
            <v>0</v>
          </cell>
          <cell r="N132">
            <v>0</v>
          </cell>
          <cell r="P132">
            <v>0</v>
          </cell>
          <cell r="R132">
            <v>0</v>
          </cell>
          <cell r="U132">
            <v>0</v>
          </cell>
          <cell r="X132">
            <v>0</v>
          </cell>
          <cell r="BC132" t="str">
            <v>Entry</v>
          </cell>
          <cell r="BH132" t="str">
            <v>Y</v>
          </cell>
          <cell r="BI132" t="str">
            <v>Y</v>
          </cell>
        </row>
        <row r="133">
          <cell r="H133">
            <v>0</v>
          </cell>
          <cell r="I133">
            <v>0</v>
          </cell>
          <cell r="BC133" t="str">
            <v>Entry</v>
          </cell>
          <cell r="BH133" t="str">
            <v>Y</v>
          </cell>
          <cell r="BI133" t="str">
            <v>Y</v>
          </cell>
        </row>
        <row r="134">
          <cell r="H134">
            <v>0</v>
          </cell>
          <cell r="I134">
            <v>0</v>
          </cell>
          <cell r="BC134" t="str">
            <v>Entry</v>
          </cell>
          <cell r="BH134" t="str">
            <v>Y</v>
          </cell>
          <cell r="BI134" t="str">
            <v>Y</v>
          </cell>
        </row>
        <row r="135">
          <cell r="J135">
            <v>0</v>
          </cell>
          <cell r="L135">
            <v>0</v>
          </cell>
          <cell r="N135">
            <v>0</v>
          </cell>
          <cell r="P135">
            <v>0</v>
          </cell>
          <cell r="R135">
            <v>0</v>
          </cell>
          <cell r="U135">
            <v>0</v>
          </cell>
          <cell r="X135">
            <v>0</v>
          </cell>
          <cell r="BC135" t="str">
            <v>Entry</v>
          </cell>
          <cell r="BH135" t="str">
            <v>Y</v>
          </cell>
          <cell r="BI135" t="str">
            <v>Y</v>
          </cell>
        </row>
        <row r="136">
          <cell r="J136">
            <v>0</v>
          </cell>
          <cell r="L136">
            <v>0</v>
          </cell>
          <cell r="N136">
            <v>0</v>
          </cell>
          <cell r="P136">
            <v>0</v>
          </cell>
          <cell r="R136">
            <v>0</v>
          </cell>
          <cell r="U136">
            <v>0</v>
          </cell>
          <cell r="X136">
            <v>0</v>
          </cell>
          <cell r="BC136" t="str">
            <v>Entry</v>
          </cell>
          <cell r="BH136" t="str">
            <v>Y</v>
          </cell>
          <cell r="BI136" t="str">
            <v>Y</v>
          </cell>
        </row>
        <row r="137">
          <cell r="H137">
            <v>0</v>
          </cell>
          <cell r="I137">
            <v>0</v>
          </cell>
          <cell r="BC137" t="str">
            <v>Entry</v>
          </cell>
          <cell r="BH137" t="str">
            <v>Y</v>
          </cell>
          <cell r="BI137" t="str">
            <v>Y</v>
          </cell>
        </row>
        <row r="138">
          <cell r="H138">
            <v>0</v>
          </cell>
          <cell r="I138">
            <v>0</v>
          </cell>
          <cell r="BC138" t="str">
            <v>Entry</v>
          </cell>
          <cell r="BH138" t="str">
            <v>Y</v>
          </cell>
          <cell r="BI138" t="str">
            <v>Y</v>
          </cell>
        </row>
        <row r="139">
          <cell r="J139">
            <v>0</v>
          </cell>
          <cell r="L139">
            <v>0</v>
          </cell>
          <cell r="N139">
            <v>0</v>
          </cell>
          <cell r="P139">
            <v>0</v>
          </cell>
          <cell r="R139">
            <v>0</v>
          </cell>
          <cell r="U139">
            <v>0</v>
          </cell>
          <cell r="X139">
            <v>0</v>
          </cell>
          <cell r="BC139" t="str">
            <v>Entry</v>
          </cell>
          <cell r="BH139" t="str">
            <v>Y</v>
          </cell>
          <cell r="BI139" t="str">
            <v>Y</v>
          </cell>
        </row>
        <row r="140">
          <cell r="J140">
            <v>0</v>
          </cell>
          <cell r="L140">
            <v>0</v>
          </cell>
          <cell r="N140">
            <v>0</v>
          </cell>
          <cell r="P140">
            <v>0</v>
          </cell>
          <cell r="R140">
            <v>0</v>
          </cell>
          <cell r="U140">
            <v>0</v>
          </cell>
          <cell r="X140">
            <v>0</v>
          </cell>
          <cell r="BC140" t="str">
            <v>Entry</v>
          </cell>
          <cell r="BH140" t="str">
            <v>Y</v>
          </cell>
          <cell r="BI140" t="str">
            <v>Y</v>
          </cell>
        </row>
        <row r="141">
          <cell r="H141">
            <v>0</v>
          </cell>
          <cell r="I141">
            <v>0</v>
          </cell>
          <cell r="BC141" t="str">
            <v>Entry</v>
          </cell>
          <cell r="BH141" t="str">
            <v>Y</v>
          </cell>
          <cell r="BI141" t="str">
            <v>Y</v>
          </cell>
        </row>
        <row r="142">
          <cell r="J142">
            <v>0</v>
          </cell>
          <cell r="L142">
            <v>0</v>
          </cell>
          <cell r="N142">
            <v>0</v>
          </cell>
          <cell r="P142">
            <v>0</v>
          </cell>
          <cell r="R142">
            <v>0</v>
          </cell>
          <cell r="U142">
            <v>1</v>
          </cell>
          <cell r="X142">
            <v>0</v>
          </cell>
          <cell r="BC142" t="str">
            <v>Entry</v>
          </cell>
          <cell r="BH142" t="str">
            <v>Y</v>
          </cell>
          <cell r="BI142" t="str">
            <v>Y</v>
          </cell>
        </row>
        <row r="143">
          <cell r="H143">
            <v>0</v>
          </cell>
          <cell r="I143">
            <v>0</v>
          </cell>
          <cell r="BC143" t="str">
            <v>Entry</v>
          </cell>
          <cell r="BH143" t="str">
            <v>Y</v>
          </cell>
          <cell r="BI143" t="str">
            <v>Y</v>
          </cell>
        </row>
        <row r="144">
          <cell r="J144">
            <v>0</v>
          </cell>
          <cell r="L144">
            <v>0</v>
          </cell>
          <cell r="N144">
            <v>0</v>
          </cell>
          <cell r="P144">
            <v>0</v>
          </cell>
          <cell r="R144">
            <v>0</v>
          </cell>
          <cell r="U144">
            <v>1</v>
          </cell>
          <cell r="X144">
            <v>0</v>
          </cell>
          <cell r="BC144" t="str">
            <v>Exit</v>
          </cell>
          <cell r="BH144" t="str">
            <v>Y</v>
          </cell>
          <cell r="BI144" t="str">
            <v>Y</v>
          </cell>
        </row>
        <row r="145">
          <cell r="H145">
            <v>1</v>
          </cell>
          <cell r="I145">
            <v>0</v>
          </cell>
          <cell r="BC145" t="str">
            <v>Exit</v>
          </cell>
          <cell r="BH145" t="str">
            <v>Y</v>
          </cell>
          <cell r="BI145" t="str">
            <v>Y</v>
          </cell>
        </row>
        <row r="146">
          <cell r="H146">
            <v>1</v>
          </cell>
          <cell r="I146">
            <v>0</v>
          </cell>
          <cell r="BC146" t="str">
            <v>Entry</v>
          </cell>
          <cell r="BH146" t="str">
            <v>Y</v>
          </cell>
          <cell r="BI146" t="str">
            <v>Y</v>
          </cell>
        </row>
        <row r="147">
          <cell r="J147">
            <v>0</v>
          </cell>
          <cell r="L147">
            <v>0</v>
          </cell>
          <cell r="N147">
            <v>0</v>
          </cell>
          <cell r="P147">
            <v>0</v>
          </cell>
          <cell r="R147">
            <v>0</v>
          </cell>
          <cell r="U147">
            <v>3</v>
          </cell>
          <cell r="X147">
            <v>0</v>
          </cell>
          <cell r="BC147" t="str">
            <v>Entry</v>
          </cell>
          <cell r="BH147" t="str">
            <v>Y</v>
          </cell>
          <cell r="BI147" t="str">
            <v>Y</v>
          </cell>
        </row>
        <row r="148">
          <cell r="J148">
            <v>0</v>
          </cell>
          <cell r="L148">
            <v>0</v>
          </cell>
          <cell r="N148">
            <v>0</v>
          </cell>
          <cell r="P148">
            <v>0</v>
          </cell>
          <cell r="R148">
            <v>0</v>
          </cell>
          <cell r="U148">
            <v>3</v>
          </cell>
          <cell r="X148">
            <v>0</v>
          </cell>
          <cell r="BC148" t="str">
            <v>Exit</v>
          </cell>
          <cell r="BH148" t="str">
            <v>Y</v>
          </cell>
          <cell r="BI148" t="str">
            <v>Y</v>
          </cell>
        </row>
        <row r="149">
          <cell r="H149">
            <v>1</v>
          </cell>
          <cell r="I149">
            <v>0</v>
          </cell>
          <cell r="BC149" t="str">
            <v>Exit</v>
          </cell>
          <cell r="BH149" t="str">
            <v>Y</v>
          </cell>
          <cell r="BI149" t="str">
            <v>Y</v>
          </cell>
        </row>
        <row r="150">
          <cell r="H150">
            <v>1</v>
          </cell>
          <cell r="I150">
            <v>0</v>
          </cell>
          <cell r="BC150" t="str">
            <v>Entry</v>
          </cell>
          <cell r="BH150" t="str">
            <v>Y</v>
          </cell>
          <cell r="BI150" t="str">
            <v>Y</v>
          </cell>
        </row>
        <row r="151">
          <cell r="J151">
            <v>0</v>
          </cell>
          <cell r="L151">
            <v>0</v>
          </cell>
          <cell r="N151">
            <v>0</v>
          </cell>
          <cell r="P151">
            <v>0</v>
          </cell>
          <cell r="R151">
            <v>0</v>
          </cell>
          <cell r="U151">
            <v>1</v>
          </cell>
          <cell r="X151">
            <v>0</v>
          </cell>
          <cell r="BC151" t="str">
            <v>Entry</v>
          </cell>
          <cell r="BH151" t="str">
            <v>Y</v>
          </cell>
          <cell r="BI151" t="str">
            <v>Y</v>
          </cell>
        </row>
        <row r="152">
          <cell r="J152">
            <v>0</v>
          </cell>
          <cell r="L152">
            <v>0</v>
          </cell>
          <cell r="N152">
            <v>0</v>
          </cell>
          <cell r="P152">
            <v>0</v>
          </cell>
          <cell r="R152">
            <v>0</v>
          </cell>
          <cell r="U152">
            <v>1</v>
          </cell>
          <cell r="X152">
            <v>0</v>
          </cell>
          <cell r="BC152" t="str">
            <v>Exit</v>
          </cell>
          <cell r="BH152" t="str">
            <v>Y</v>
          </cell>
          <cell r="BI152" t="str">
            <v>Y</v>
          </cell>
        </row>
        <row r="153">
          <cell r="H153">
            <v>1</v>
          </cell>
          <cell r="I153">
            <v>0</v>
          </cell>
          <cell r="BC153" t="str">
            <v>Exit</v>
          </cell>
          <cell r="BH153" t="str">
            <v>Y</v>
          </cell>
          <cell r="BI153" t="str">
            <v>Y</v>
          </cell>
        </row>
        <row r="154">
          <cell r="H154">
            <v>0</v>
          </cell>
          <cell r="I154">
            <v>1</v>
          </cell>
          <cell r="BC154" t="str">
            <v>Entry</v>
          </cell>
          <cell r="BH154" t="str">
            <v>Y</v>
          </cell>
          <cell r="BI154" t="str">
            <v>Y</v>
          </cell>
        </row>
        <row r="155">
          <cell r="J155">
            <v>0</v>
          </cell>
          <cell r="L155">
            <v>0</v>
          </cell>
          <cell r="N155">
            <v>0</v>
          </cell>
          <cell r="P155">
            <v>0</v>
          </cell>
          <cell r="R155">
            <v>1</v>
          </cell>
          <cell r="U155">
            <v>2</v>
          </cell>
          <cell r="X155">
            <v>0</v>
          </cell>
          <cell r="BC155" t="str">
            <v>Entry</v>
          </cell>
          <cell r="BH155" t="str">
            <v>Y</v>
          </cell>
          <cell r="BI155" t="str">
            <v>Y</v>
          </cell>
        </row>
        <row r="156">
          <cell r="H156">
            <v>0</v>
          </cell>
          <cell r="I156">
            <v>1</v>
          </cell>
          <cell r="BC156" t="str">
            <v>Exit</v>
          </cell>
          <cell r="BH156" t="str">
            <v>Y</v>
          </cell>
          <cell r="BI156" t="str">
            <v>Y</v>
          </cell>
        </row>
        <row r="157">
          <cell r="J157">
            <v>0</v>
          </cell>
          <cell r="L157">
            <v>0</v>
          </cell>
          <cell r="N157">
            <v>0</v>
          </cell>
          <cell r="P157">
            <v>0</v>
          </cell>
          <cell r="R157">
            <v>1</v>
          </cell>
          <cell r="U157">
            <v>2</v>
          </cell>
          <cell r="X157">
            <v>0</v>
          </cell>
          <cell r="BC157" t="str">
            <v>Exit</v>
          </cell>
          <cell r="BH157" t="str">
            <v>Y</v>
          </cell>
          <cell r="BI157" t="str">
            <v>Y</v>
          </cell>
        </row>
        <row r="158">
          <cell r="J158">
            <v>0</v>
          </cell>
          <cell r="L158">
            <v>0</v>
          </cell>
          <cell r="P158">
            <v>0</v>
          </cell>
          <cell r="R158">
            <v>0</v>
          </cell>
          <cell r="U158">
            <v>0</v>
          </cell>
          <cell r="X158">
            <v>0</v>
          </cell>
          <cell r="BC158" t="str">
            <v>Entry</v>
          </cell>
          <cell r="BH158" t="str">
            <v>Y</v>
          </cell>
          <cell r="BI158" t="str">
            <v>Y</v>
          </cell>
        </row>
        <row r="159">
          <cell r="H159">
            <v>0</v>
          </cell>
          <cell r="I159">
            <v>0</v>
          </cell>
          <cell r="BC159" t="str">
            <v>Entry</v>
          </cell>
          <cell r="BH159" t="str">
            <v>Y</v>
          </cell>
          <cell r="BI159" t="str">
            <v>Y</v>
          </cell>
        </row>
        <row r="160">
          <cell r="J160">
            <v>0</v>
          </cell>
          <cell r="L160">
            <v>0</v>
          </cell>
          <cell r="P160">
            <v>0</v>
          </cell>
          <cell r="R160">
            <v>0</v>
          </cell>
          <cell r="U160">
            <v>0</v>
          </cell>
          <cell r="X160">
            <v>0</v>
          </cell>
          <cell r="BC160" t="str">
            <v>Exit</v>
          </cell>
          <cell r="BH160" t="str">
            <v>Y</v>
          </cell>
          <cell r="BI160" t="str">
            <v>Y</v>
          </cell>
        </row>
        <row r="161">
          <cell r="H161">
            <v>0</v>
          </cell>
          <cell r="I161">
            <v>0</v>
          </cell>
          <cell r="BC161" t="str">
            <v>Exit</v>
          </cell>
          <cell r="BH161" t="str">
            <v>Y</v>
          </cell>
          <cell r="BI161" t="str">
            <v>Y</v>
          </cell>
        </row>
        <row r="162">
          <cell r="H162">
            <v>0</v>
          </cell>
          <cell r="I162">
            <v>0</v>
          </cell>
          <cell r="BC162" t="str">
            <v>Entry</v>
          </cell>
          <cell r="BH162" t="str">
            <v>Y</v>
          </cell>
          <cell r="BI162" t="str">
            <v>Y</v>
          </cell>
        </row>
        <row r="163">
          <cell r="J163">
            <v>0</v>
          </cell>
          <cell r="L163">
            <v>0</v>
          </cell>
          <cell r="N163">
            <v>0</v>
          </cell>
          <cell r="P163">
            <v>0</v>
          </cell>
          <cell r="R163">
            <v>0</v>
          </cell>
          <cell r="U163">
            <v>0</v>
          </cell>
          <cell r="X163">
            <v>0</v>
          </cell>
          <cell r="BC163" t="str">
            <v>Entry</v>
          </cell>
          <cell r="BH163" t="str">
            <v>Y</v>
          </cell>
          <cell r="BI163" t="str">
            <v>Y</v>
          </cell>
        </row>
        <row r="164">
          <cell r="J164">
            <v>0</v>
          </cell>
          <cell r="L164">
            <v>0</v>
          </cell>
          <cell r="N164">
            <v>0</v>
          </cell>
          <cell r="P164">
            <v>0</v>
          </cell>
          <cell r="R164">
            <v>0</v>
          </cell>
          <cell r="U164">
            <v>0</v>
          </cell>
          <cell r="X164">
            <v>0</v>
          </cell>
          <cell r="BC164" t="str">
            <v>Exit</v>
          </cell>
          <cell r="BH164" t="str">
            <v>Y</v>
          </cell>
          <cell r="BI164" t="str">
            <v>Y</v>
          </cell>
        </row>
        <row r="165">
          <cell r="H165">
            <v>1</v>
          </cell>
          <cell r="I165">
            <v>1</v>
          </cell>
          <cell r="BC165" t="str">
            <v>Exit</v>
          </cell>
          <cell r="BH165" t="str">
            <v>Y</v>
          </cell>
          <cell r="BI165" t="str">
            <v>Y</v>
          </cell>
        </row>
        <row r="166">
          <cell r="J166">
            <v>0</v>
          </cell>
          <cell r="L166">
            <v>0</v>
          </cell>
          <cell r="P166">
            <v>0</v>
          </cell>
          <cell r="R166">
            <v>0</v>
          </cell>
          <cell r="U166">
            <v>0</v>
          </cell>
          <cell r="X166">
            <v>0</v>
          </cell>
          <cell r="BC166" t="str">
            <v>Entry</v>
          </cell>
          <cell r="BH166" t="str">
            <v>Y</v>
          </cell>
          <cell r="BI166" t="str">
            <v>Y</v>
          </cell>
        </row>
        <row r="167">
          <cell r="H167">
            <v>0</v>
          </cell>
          <cell r="I167">
            <v>0</v>
          </cell>
          <cell r="BC167" t="str">
            <v>Entry</v>
          </cell>
          <cell r="BH167" t="str">
            <v>Y</v>
          </cell>
          <cell r="BI167" t="str">
            <v>Y</v>
          </cell>
        </row>
        <row r="168">
          <cell r="J168">
            <v>0</v>
          </cell>
          <cell r="L168">
            <v>0</v>
          </cell>
          <cell r="P168">
            <v>0</v>
          </cell>
          <cell r="R168">
            <v>0</v>
          </cell>
          <cell r="U168">
            <v>0</v>
          </cell>
          <cell r="X168">
            <v>0</v>
          </cell>
          <cell r="BC168" t="str">
            <v>Exit</v>
          </cell>
          <cell r="BH168" t="str">
            <v>Y</v>
          </cell>
          <cell r="BI168" t="str">
            <v>Y</v>
          </cell>
        </row>
        <row r="169">
          <cell r="H169">
            <v>0</v>
          </cell>
          <cell r="I169">
            <v>0</v>
          </cell>
          <cell r="BC169" t="str">
            <v>Exit</v>
          </cell>
          <cell r="BH169" t="str">
            <v>Y</v>
          </cell>
          <cell r="BI169" t="str">
            <v>Y</v>
          </cell>
        </row>
        <row r="170">
          <cell r="H170">
            <v>0</v>
          </cell>
          <cell r="I170">
            <v>0</v>
          </cell>
          <cell r="BC170" t="str">
            <v>Entry</v>
          </cell>
          <cell r="BH170" t="str">
            <v>Y</v>
          </cell>
          <cell r="BI170" t="str">
            <v>Y</v>
          </cell>
        </row>
        <row r="171">
          <cell r="J171">
            <v>0</v>
          </cell>
          <cell r="L171">
            <v>0</v>
          </cell>
          <cell r="P171">
            <v>0</v>
          </cell>
          <cell r="R171">
            <v>0</v>
          </cell>
          <cell r="U171">
            <v>0</v>
          </cell>
          <cell r="X171">
            <v>0</v>
          </cell>
          <cell r="BC171" t="str">
            <v>Entry</v>
          </cell>
          <cell r="BH171" t="str">
            <v>Y</v>
          </cell>
          <cell r="BI171" t="str">
            <v>Y</v>
          </cell>
        </row>
        <row r="172">
          <cell r="H172">
            <v>0</v>
          </cell>
          <cell r="I172">
            <v>0</v>
          </cell>
          <cell r="BC172" t="str">
            <v>Exit</v>
          </cell>
          <cell r="BH172" t="str">
            <v>Y</v>
          </cell>
          <cell r="BI172" t="str">
            <v>Y</v>
          </cell>
        </row>
        <row r="173">
          <cell r="J173">
            <v>0</v>
          </cell>
          <cell r="L173">
            <v>0</v>
          </cell>
          <cell r="P173">
            <v>0</v>
          </cell>
          <cell r="R173">
            <v>0</v>
          </cell>
          <cell r="U173">
            <v>0</v>
          </cell>
          <cell r="X173">
            <v>0</v>
          </cell>
          <cell r="BC173" t="str">
            <v>Exit</v>
          </cell>
          <cell r="BH173" t="str">
            <v>Y</v>
          </cell>
          <cell r="BI173" t="str">
            <v>Y</v>
          </cell>
        </row>
        <row r="174">
          <cell r="J174">
            <v>0</v>
          </cell>
          <cell r="L174">
            <v>0</v>
          </cell>
          <cell r="P174">
            <v>0</v>
          </cell>
          <cell r="R174">
            <v>0</v>
          </cell>
          <cell r="U174">
            <v>0</v>
          </cell>
          <cell r="X174">
            <v>0</v>
          </cell>
          <cell r="BC174" t="str">
            <v>Entry</v>
          </cell>
          <cell r="BH174" t="str">
            <v>Y</v>
          </cell>
          <cell r="BI174" t="str">
            <v>Y</v>
          </cell>
        </row>
        <row r="175">
          <cell r="H175">
            <v>0</v>
          </cell>
          <cell r="I175">
            <v>0</v>
          </cell>
          <cell r="BC175" t="str">
            <v>Entry</v>
          </cell>
          <cell r="BH175" t="str">
            <v>Y</v>
          </cell>
          <cell r="BI175" t="str">
            <v>Y</v>
          </cell>
        </row>
        <row r="176">
          <cell r="H176">
            <v>0</v>
          </cell>
          <cell r="I176">
            <v>0</v>
          </cell>
          <cell r="BC176" t="str">
            <v>Exit</v>
          </cell>
          <cell r="BH176" t="str">
            <v>Y</v>
          </cell>
          <cell r="BI176" t="str">
            <v>Y</v>
          </cell>
        </row>
        <row r="177">
          <cell r="J177">
            <v>0</v>
          </cell>
          <cell r="L177">
            <v>0</v>
          </cell>
          <cell r="P177">
            <v>0</v>
          </cell>
          <cell r="R177">
            <v>0</v>
          </cell>
          <cell r="U177">
            <v>0</v>
          </cell>
          <cell r="X177">
            <v>0</v>
          </cell>
          <cell r="BC177" t="str">
            <v>Exit</v>
          </cell>
          <cell r="BH177" t="str">
            <v>Y</v>
          </cell>
          <cell r="BI177" t="str">
            <v>Y</v>
          </cell>
        </row>
        <row r="178">
          <cell r="H178">
            <v>0</v>
          </cell>
          <cell r="I178">
            <v>0</v>
          </cell>
          <cell r="BC178" t="str">
            <v>Entry</v>
          </cell>
          <cell r="BH178" t="str">
            <v>Y</v>
          </cell>
          <cell r="BI178" t="str">
            <v>Y</v>
          </cell>
        </row>
        <row r="179">
          <cell r="J179">
            <v>0</v>
          </cell>
          <cell r="L179">
            <v>0</v>
          </cell>
          <cell r="P179">
            <v>0</v>
          </cell>
          <cell r="R179">
            <v>0</v>
          </cell>
          <cell r="U179">
            <v>0</v>
          </cell>
          <cell r="X179">
            <v>0</v>
          </cell>
          <cell r="BC179" t="str">
            <v>Entry</v>
          </cell>
          <cell r="BH179" t="str">
            <v>Y</v>
          </cell>
          <cell r="BI179" t="str">
            <v>Y</v>
          </cell>
        </row>
        <row r="180">
          <cell r="J180">
            <v>0</v>
          </cell>
          <cell r="L180">
            <v>0</v>
          </cell>
          <cell r="P180">
            <v>0</v>
          </cell>
          <cell r="R180">
            <v>0</v>
          </cell>
          <cell r="U180">
            <v>0</v>
          </cell>
          <cell r="X180">
            <v>0</v>
          </cell>
          <cell r="BC180" t="str">
            <v>Exit</v>
          </cell>
          <cell r="BH180" t="str">
            <v>Y</v>
          </cell>
          <cell r="BI180" t="str">
            <v>Y</v>
          </cell>
        </row>
        <row r="181">
          <cell r="H181">
            <v>0</v>
          </cell>
          <cell r="I181">
            <v>0</v>
          </cell>
          <cell r="BC181" t="str">
            <v>Exit</v>
          </cell>
          <cell r="BH181" t="str">
            <v>Y</v>
          </cell>
          <cell r="BI181" t="str">
            <v>Y</v>
          </cell>
        </row>
        <row r="182">
          <cell r="J182">
            <v>0</v>
          </cell>
          <cell r="L182">
            <v>0</v>
          </cell>
          <cell r="N182">
            <v>0</v>
          </cell>
          <cell r="P182">
            <v>0</v>
          </cell>
          <cell r="R182">
            <v>0</v>
          </cell>
          <cell r="U182">
            <v>0</v>
          </cell>
          <cell r="X182">
            <v>0</v>
          </cell>
          <cell r="BC182" t="str">
            <v>Entry</v>
          </cell>
          <cell r="BH182" t="str">
            <v>Y</v>
          </cell>
          <cell r="BI182" t="str">
            <v>Y</v>
          </cell>
        </row>
        <row r="183">
          <cell r="J183">
            <v>0</v>
          </cell>
          <cell r="L183">
            <v>0</v>
          </cell>
          <cell r="N183">
            <v>0</v>
          </cell>
          <cell r="P183">
            <v>0</v>
          </cell>
          <cell r="R183">
            <v>0</v>
          </cell>
          <cell r="U183">
            <v>0</v>
          </cell>
          <cell r="X183">
            <v>0</v>
          </cell>
          <cell r="BC183" t="str">
            <v>Entry</v>
          </cell>
          <cell r="BH183" t="str">
            <v>Y</v>
          </cell>
          <cell r="BI183" t="str">
            <v>Y</v>
          </cell>
        </row>
        <row r="184">
          <cell r="H184">
            <v>1</v>
          </cell>
          <cell r="I184">
            <v>0</v>
          </cell>
          <cell r="BC184" t="str">
            <v>Entry</v>
          </cell>
          <cell r="BH184" t="str">
            <v>Y</v>
          </cell>
          <cell r="BI184" t="str">
            <v>Y</v>
          </cell>
        </row>
        <row r="185">
          <cell r="H185">
            <v>1</v>
          </cell>
          <cell r="I185">
            <v>1</v>
          </cell>
          <cell r="BC185" t="str">
            <v>Neither</v>
          </cell>
          <cell r="BH185" t="str">
            <v>Y</v>
          </cell>
          <cell r="BI185" t="str">
            <v>Y</v>
          </cell>
        </row>
        <row r="186">
          <cell r="J186">
            <v>0</v>
          </cell>
          <cell r="L186">
            <v>0</v>
          </cell>
          <cell r="N186">
            <v>0</v>
          </cell>
          <cell r="P186">
            <v>0</v>
          </cell>
          <cell r="R186">
            <v>0</v>
          </cell>
          <cell r="U186">
            <v>0</v>
          </cell>
          <cell r="X186">
            <v>0</v>
          </cell>
          <cell r="BC186" t="str">
            <v>Exit</v>
          </cell>
          <cell r="BH186" t="str">
            <v>Y</v>
          </cell>
          <cell r="BI186" t="str">
            <v>Y</v>
          </cell>
        </row>
        <row r="187">
          <cell r="J187">
            <v>0</v>
          </cell>
          <cell r="L187">
            <v>0</v>
          </cell>
          <cell r="N187">
            <v>0</v>
          </cell>
          <cell r="P187">
            <v>0</v>
          </cell>
          <cell r="R187">
            <v>0</v>
          </cell>
          <cell r="U187">
            <v>0</v>
          </cell>
          <cell r="X187">
            <v>0</v>
          </cell>
          <cell r="BC187" t="str">
            <v>Exit</v>
          </cell>
          <cell r="BH187" t="str">
            <v>Y</v>
          </cell>
          <cell r="BI187" t="str">
            <v>Y</v>
          </cell>
        </row>
        <row r="188">
          <cell r="H188">
            <v>1</v>
          </cell>
          <cell r="I188">
            <v>1</v>
          </cell>
          <cell r="BC188" t="str">
            <v>Exit</v>
          </cell>
          <cell r="BH188" t="str">
            <v>Y</v>
          </cell>
          <cell r="BI188" t="str">
            <v>Y</v>
          </cell>
        </row>
        <row r="189">
          <cell r="H189">
            <v>0</v>
          </cell>
          <cell r="I189">
            <v>0</v>
          </cell>
          <cell r="BC189" t="str">
            <v>Entry</v>
          </cell>
          <cell r="BH189" t="str">
            <v>Y</v>
          </cell>
          <cell r="BI189" t="str">
            <v>Y</v>
          </cell>
        </row>
        <row r="190">
          <cell r="J190">
            <v>0</v>
          </cell>
          <cell r="L190">
            <v>0</v>
          </cell>
          <cell r="P190">
            <v>0</v>
          </cell>
          <cell r="R190">
            <v>0</v>
          </cell>
          <cell r="U190">
            <v>0</v>
          </cell>
          <cell r="X190">
            <v>0</v>
          </cell>
          <cell r="BC190" t="str">
            <v>Entry</v>
          </cell>
          <cell r="BH190" t="str">
            <v>Y</v>
          </cell>
          <cell r="BI190" t="str">
            <v>Y</v>
          </cell>
        </row>
        <row r="191">
          <cell r="H191">
            <v>0</v>
          </cell>
          <cell r="I191">
            <v>0</v>
          </cell>
          <cell r="BC191" t="str">
            <v>Exit</v>
          </cell>
          <cell r="BH191" t="str">
            <v>Y</v>
          </cell>
          <cell r="BI191" t="str">
            <v>Y</v>
          </cell>
        </row>
        <row r="192">
          <cell r="J192">
            <v>0</v>
          </cell>
          <cell r="L192">
            <v>0</v>
          </cell>
          <cell r="P192">
            <v>0</v>
          </cell>
          <cell r="R192">
            <v>0</v>
          </cell>
          <cell r="U192">
            <v>0</v>
          </cell>
          <cell r="X192">
            <v>0</v>
          </cell>
          <cell r="BC192" t="str">
            <v>Exit</v>
          </cell>
          <cell r="BH192" t="str">
            <v>Y</v>
          </cell>
          <cell r="BI192" t="str">
            <v>Y</v>
          </cell>
        </row>
        <row r="193">
          <cell r="J193">
            <v>0</v>
          </cell>
          <cell r="L193">
            <v>0</v>
          </cell>
          <cell r="N193">
            <v>0</v>
          </cell>
          <cell r="P193">
            <v>0</v>
          </cell>
          <cell r="R193">
            <v>0</v>
          </cell>
          <cell r="U193">
            <v>0</v>
          </cell>
          <cell r="X193">
            <v>0</v>
          </cell>
          <cell r="BC193" t="str">
            <v>Entry</v>
          </cell>
          <cell r="BH193" t="str">
            <v>Y</v>
          </cell>
          <cell r="BI193" t="str">
            <v>Y</v>
          </cell>
        </row>
        <row r="194">
          <cell r="H194">
            <v>0</v>
          </cell>
          <cell r="I194">
            <v>0</v>
          </cell>
          <cell r="BC194" t="str">
            <v>Entry</v>
          </cell>
          <cell r="BH194" t="str">
            <v>Y</v>
          </cell>
          <cell r="BI194" t="str">
            <v>Y</v>
          </cell>
        </row>
        <row r="195">
          <cell r="H195">
            <v>0</v>
          </cell>
          <cell r="I195">
            <v>0</v>
          </cell>
          <cell r="BC195" t="str">
            <v>Exit</v>
          </cell>
          <cell r="BH195" t="str">
            <v>Y</v>
          </cell>
          <cell r="BI195" t="str">
            <v>Y</v>
          </cell>
        </row>
        <row r="196">
          <cell r="J196">
            <v>0</v>
          </cell>
          <cell r="L196">
            <v>0</v>
          </cell>
          <cell r="N196">
            <v>0</v>
          </cell>
          <cell r="P196">
            <v>0</v>
          </cell>
          <cell r="R196">
            <v>0</v>
          </cell>
          <cell r="U196">
            <v>0</v>
          </cell>
          <cell r="X196">
            <v>0</v>
          </cell>
          <cell r="BC196" t="str">
            <v>Exit</v>
          </cell>
          <cell r="BH196" t="str">
            <v>Y</v>
          </cell>
          <cell r="BI196" t="str">
            <v>Y</v>
          </cell>
        </row>
        <row r="197">
          <cell r="J197">
            <v>0</v>
          </cell>
          <cell r="L197">
            <v>0</v>
          </cell>
          <cell r="N197">
            <v>0</v>
          </cell>
          <cell r="P197">
            <v>0</v>
          </cell>
          <cell r="R197">
            <v>0</v>
          </cell>
          <cell r="U197">
            <v>0</v>
          </cell>
          <cell r="X197">
            <v>0</v>
          </cell>
          <cell r="BC197" t="str">
            <v>Entry</v>
          </cell>
          <cell r="BH197" t="str">
            <v>Y</v>
          </cell>
          <cell r="BI197" t="str">
            <v>Y</v>
          </cell>
        </row>
        <row r="198">
          <cell r="H198">
            <v>0</v>
          </cell>
          <cell r="I198">
            <v>0</v>
          </cell>
          <cell r="BC198" t="str">
            <v>Entry</v>
          </cell>
          <cell r="BH198" t="str">
            <v>Y</v>
          </cell>
          <cell r="BI198" t="str">
            <v>Y</v>
          </cell>
        </row>
        <row r="199">
          <cell r="H199">
            <v>1</v>
          </cell>
          <cell r="I199">
            <v>0</v>
          </cell>
          <cell r="BC199" t="str">
            <v>Exit</v>
          </cell>
          <cell r="BH199" t="str">
            <v>Y</v>
          </cell>
          <cell r="BI199" t="str">
            <v>Y</v>
          </cell>
        </row>
        <row r="200">
          <cell r="J200">
            <v>0</v>
          </cell>
          <cell r="L200">
            <v>0</v>
          </cell>
          <cell r="N200">
            <v>0</v>
          </cell>
          <cell r="P200">
            <v>0</v>
          </cell>
          <cell r="R200">
            <v>0</v>
          </cell>
          <cell r="U200">
            <v>0</v>
          </cell>
          <cell r="X200">
            <v>0</v>
          </cell>
          <cell r="BC200" t="str">
            <v>Exit</v>
          </cell>
          <cell r="BH200" t="str">
            <v>Y</v>
          </cell>
          <cell r="BI200" t="str">
            <v>Y</v>
          </cell>
        </row>
        <row r="201">
          <cell r="H201">
            <v>1</v>
          </cell>
          <cell r="I201">
            <v>1</v>
          </cell>
          <cell r="BC201" t="str">
            <v>Entry</v>
          </cell>
          <cell r="BH201" t="str">
            <v>Y</v>
          </cell>
          <cell r="BI201" t="str">
            <v>Y</v>
          </cell>
        </row>
        <row r="202">
          <cell r="J202">
            <v>0</v>
          </cell>
          <cell r="L202">
            <v>0</v>
          </cell>
          <cell r="N202">
            <v>0</v>
          </cell>
          <cell r="P202">
            <v>0</v>
          </cell>
          <cell r="R202">
            <v>0</v>
          </cell>
          <cell r="U202">
            <v>0</v>
          </cell>
          <cell r="X202">
            <v>0</v>
          </cell>
          <cell r="BC202" t="str">
            <v>Entry</v>
          </cell>
          <cell r="BH202" t="str">
            <v>Y</v>
          </cell>
          <cell r="BI202" t="str">
            <v>Y</v>
          </cell>
        </row>
        <row r="203">
          <cell r="H203">
            <v>1</v>
          </cell>
          <cell r="I203">
            <v>1</v>
          </cell>
          <cell r="BC203" t="str">
            <v>Exit</v>
          </cell>
          <cell r="BH203" t="str">
            <v>Y</v>
          </cell>
          <cell r="BI203" t="str">
            <v>Y</v>
          </cell>
        </row>
        <row r="204">
          <cell r="J204">
            <v>0</v>
          </cell>
          <cell r="L204">
            <v>0</v>
          </cell>
          <cell r="N204">
            <v>0</v>
          </cell>
          <cell r="P204">
            <v>0</v>
          </cell>
          <cell r="R204">
            <v>0</v>
          </cell>
          <cell r="U204">
            <v>0</v>
          </cell>
          <cell r="X204">
            <v>0</v>
          </cell>
          <cell r="BC204" t="str">
            <v>Exit</v>
          </cell>
          <cell r="BH204" t="str">
            <v>Y</v>
          </cell>
          <cell r="BI204" t="str">
            <v>Y</v>
          </cell>
        </row>
        <row r="205">
          <cell r="J205">
            <v>0</v>
          </cell>
          <cell r="L205">
            <v>0</v>
          </cell>
          <cell r="P205">
            <v>0</v>
          </cell>
          <cell r="R205">
            <v>0</v>
          </cell>
          <cell r="U205">
            <v>0</v>
          </cell>
          <cell r="X205">
            <v>0</v>
          </cell>
          <cell r="BC205" t="str">
            <v>Entry</v>
          </cell>
          <cell r="BH205" t="str">
            <v>Y</v>
          </cell>
          <cell r="BI205" t="str">
            <v>Y</v>
          </cell>
        </row>
        <row r="206">
          <cell r="H206">
            <v>0</v>
          </cell>
          <cell r="I206">
            <v>0</v>
          </cell>
          <cell r="BC206" t="str">
            <v>Entry</v>
          </cell>
          <cell r="BH206" t="str">
            <v>Y</v>
          </cell>
          <cell r="BI206" t="str">
            <v>Y</v>
          </cell>
        </row>
        <row r="207">
          <cell r="J207">
            <v>0</v>
          </cell>
          <cell r="L207">
            <v>0</v>
          </cell>
          <cell r="P207">
            <v>0</v>
          </cell>
          <cell r="R207">
            <v>0</v>
          </cell>
          <cell r="U207">
            <v>0</v>
          </cell>
          <cell r="X207">
            <v>0</v>
          </cell>
          <cell r="BC207" t="str">
            <v>Exit</v>
          </cell>
          <cell r="BH207" t="str">
            <v>Y</v>
          </cell>
          <cell r="BI207" t="str">
            <v>Y</v>
          </cell>
        </row>
        <row r="208">
          <cell r="H208">
            <v>0</v>
          </cell>
          <cell r="I208">
            <v>0</v>
          </cell>
          <cell r="BC208" t="str">
            <v>Exit</v>
          </cell>
          <cell r="BH208" t="str">
            <v>Y</v>
          </cell>
          <cell r="BI208" t="str">
            <v>Y</v>
          </cell>
        </row>
        <row r="209">
          <cell r="H209">
            <v>0</v>
          </cell>
          <cell r="I209">
            <v>0</v>
          </cell>
          <cell r="BC209" t="str">
            <v>Entry</v>
          </cell>
          <cell r="BH209" t="str">
            <v>Y</v>
          </cell>
          <cell r="BI209" t="str">
            <v>Y</v>
          </cell>
        </row>
        <row r="210">
          <cell r="J210">
            <v>0</v>
          </cell>
          <cell r="L210">
            <v>0</v>
          </cell>
          <cell r="P210">
            <v>0</v>
          </cell>
          <cell r="R210">
            <v>0</v>
          </cell>
          <cell r="U210">
            <v>0</v>
          </cell>
          <cell r="X210">
            <v>0</v>
          </cell>
          <cell r="BC210" t="str">
            <v>Entry</v>
          </cell>
          <cell r="BH210" t="str">
            <v>Y</v>
          </cell>
          <cell r="BI210" t="str">
            <v>Y</v>
          </cell>
        </row>
        <row r="211">
          <cell r="H211">
            <v>0</v>
          </cell>
          <cell r="I211">
            <v>0</v>
          </cell>
          <cell r="BC211" t="str">
            <v>Exit</v>
          </cell>
          <cell r="BH211" t="str">
            <v>Y</v>
          </cell>
          <cell r="BI211" t="str">
            <v>Y</v>
          </cell>
        </row>
        <row r="212">
          <cell r="J212">
            <v>0</v>
          </cell>
          <cell r="L212">
            <v>0</v>
          </cell>
          <cell r="P212">
            <v>0</v>
          </cell>
          <cell r="R212">
            <v>0</v>
          </cell>
          <cell r="U212">
            <v>0</v>
          </cell>
          <cell r="X212">
            <v>0</v>
          </cell>
          <cell r="BC212" t="str">
            <v>Exit</v>
          </cell>
          <cell r="BH212" t="str">
            <v>Y</v>
          </cell>
          <cell r="BI212" t="str">
            <v>Y</v>
          </cell>
        </row>
        <row r="213">
          <cell r="J213">
            <v>0</v>
          </cell>
          <cell r="L213">
            <v>0</v>
          </cell>
          <cell r="P213">
            <v>0</v>
          </cell>
          <cell r="R213">
            <v>0</v>
          </cell>
          <cell r="U213">
            <v>0</v>
          </cell>
          <cell r="X213">
            <v>0</v>
          </cell>
          <cell r="BC213" t="str">
            <v>Entry</v>
          </cell>
          <cell r="BH213" t="str">
            <v>Y</v>
          </cell>
          <cell r="BI213" t="str">
            <v>Y</v>
          </cell>
        </row>
        <row r="214">
          <cell r="H214">
            <v>0</v>
          </cell>
          <cell r="I214">
            <v>0</v>
          </cell>
          <cell r="BC214" t="str">
            <v>Entry</v>
          </cell>
          <cell r="BH214" t="str">
            <v>Y</v>
          </cell>
          <cell r="BI214" t="str">
            <v>Y</v>
          </cell>
        </row>
        <row r="215">
          <cell r="J215">
            <v>0</v>
          </cell>
          <cell r="L215">
            <v>0</v>
          </cell>
          <cell r="P215">
            <v>0</v>
          </cell>
          <cell r="R215">
            <v>0</v>
          </cell>
          <cell r="U215">
            <v>0</v>
          </cell>
          <cell r="X215">
            <v>0</v>
          </cell>
          <cell r="BC215" t="str">
            <v>Exit</v>
          </cell>
          <cell r="BH215" t="str">
            <v>Y</v>
          </cell>
          <cell r="BI215" t="str">
            <v>Y</v>
          </cell>
        </row>
        <row r="216">
          <cell r="H216">
            <v>0</v>
          </cell>
          <cell r="I216">
            <v>0</v>
          </cell>
          <cell r="BC216" t="str">
            <v>Exit</v>
          </cell>
          <cell r="BH216" t="str">
            <v>Y</v>
          </cell>
          <cell r="BI216" t="str">
            <v>Y</v>
          </cell>
        </row>
        <row r="217">
          <cell r="H217">
            <v>0</v>
          </cell>
          <cell r="I217">
            <v>1</v>
          </cell>
          <cell r="BC217" t="str">
            <v>Entry</v>
          </cell>
          <cell r="BH217" t="str">
            <v>Y</v>
          </cell>
          <cell r="BI217" t="str">
            <v>Y</v>
          </cell>
        </row>
        <row r="218">
          <cell r="J218">
            <v>0</v>
          </cell>
          <cell r="L218">
            <v>0</v>
          </cell>
          <cell r="N218">
            <v>0</v>
          </cell>
          <cell r="P218">
            <v>0</v>
          </cell>
          <cell r="R218">
            <v>0</v>
          </cell>
          <cell r="U218">
            <v>0</v>
          </cell>
          <cell r="X218">
            <v>0</v>
          </cell>
          <cell r="BC218" t="str">
            <v>Entry</v>
          </cell>
          <cell r="BH218" t="str">
            <v>Y</v>
          </cell>
          <cell r="BI218" t="str">
            <v>Y</v>
          </cell>
        </row>
        <row r="219">
          <cell r="J219">
            <v>0</v>
          </cell>
          <cell r="L219">
            <v>0</v>
          </cell>
          <cell r="N219">
            <v>0</v>
          </cell>
          <cell r="P219">
            <v>0</v>
          </cell>
          <cell r="R219">
            <v>0</v>
          </cell>
          <cell r="U219">
            <v>0</v>
          </cell>
          <cell r="X219">
            <v>0</v>
          </cell>
          <cell r="BC219" t="str">
            <v>Exit</v>
          </cell>
          <cell r="BH219" t="str">
            <v>Y</v>
          </cell>
          <cell r="BI219" t="str">
            <v>Y</v>
          </cell>
        </row>
        <row r="220">
          <cell r="H220">
            <v>0</v>
          </cell>
          <cell r="I220">
            <v>1</v>
          </cell>
          <cell r="BC220" t="str">
            <v>Exit</v>
          </cell>
          <cell r="BH220" t="str">
            <v>Y</v>
          </cell>
          <cell r="BI220" t="str">
            <v>Y</v>
          </cell>
        </row>
        <row r="221">
          <cell r="J221">
            <v>0</v>
          </cell>
          <cell r="L221">
            <v>0</v>
          </cell>
          <cell r="N221">
            <v>0</v>
          </cell>
          <cell r="P221">
            <v>0</v>
          </cell>
          <cell r="R221">
            <v>0</v>
          </cell>
          <cell r="U221">
            <v>0</v>
          </cell>
          <cell r="X221">
            <v>0</v>
          </cell>
          <cell r="BC221" t="str">
            <v>Entry</v>
          </cell>
          <cell r="BH221" t="str">
            <v>Y</v>
          </cell>
          <cell r="BI221" t="str">
            <v>Y</v>
          </cell>
        </row>
        <row r="222">
          <cell r="H222">
            <v>0</v>
          </cell>
          <cell r="I222">
            <v>1</v>
          </cell>
          <cell r="BC222" t="str">
            <v>Entry</v>
          </cell>
          <cell r="BH222" t="str">
            <v>Y</v>
          </cell>
          <cell r="BI222" t="str">
            <v>Y</v>
          </cell>
        </row>
        <row r="223">
          <cell r="J223">
            <v>0</v>
          </cell>
          <cell r="L223">
            <v>0</v>
          </cell>
          <cell r="N223">
            <v>0</v>
          </cell>
          <cell r="P223">
            <v>0</v>
          </cell>
          <cell r="R223">
            <v>0</v>
          </cell>
          <cell r="U223">
            <v>0</v>
          </cell>
          <cell r="X223">
            <v>0</v>
          </cell>
          <cell r="BC223" t="str">
            <v>Exit</v>
          </cell>
          <cell r="BH223" t="str">
            <v>Y</v>
          </cell>
          <cell r="BI223" t="str">
            <v>Y</v>
          </cell>
        </row>
        <row r="224">
          <cell r="H224">
            <v>0</v>
          </cell>
          <cell r="I224">
            <v>1</v>
          </cell>
          <cell r="BC224" t="str">
            <v>Exit</v>
          </cell>
          <cell r="BH224" t="str">
            <v>Y</v>
          </cell>
          <cell r="BI224" t="str">
            <v>Y</v>
          </cell>
        </row>
        <row r="225">
          <cell r="H225">
            <v>1</v>
          </cell>
          <cell r="I225">
            <v>0</v>
          </cell>
          <cell r="BC225" t="str">
            <v>Entry</v>
          </cell>
          <cell r="BH225" t="str">
            <v>Y</v>
          </cell>
          <cell r="BI225" t="str">
            <v>Y</v>
          </cell>
        </row>
        <row r="226">
          <cell r="J226">
            <v>0</v>
          </cell>
          <cell r="L226">
            <v>0</v>
          </cell>
          <cell r="N226">
            <v>0</v>
          </cell>
          <cell r="P226">
            <v>0</v>
          </cell>
          <cell r="R226">
            <v>0</v>
          </cell>
          <cell r="U226">
            <v>2</v>
          </cell>
          <cell r="X226">
            <v>0</v>
          </cell>
          <cell r="BC226" t="str">
            <v>Entry</v>
          </cell>
          <cell r="BH226" t="str">
            <v>Y</v>
          </cell>
          <cell r="BI226" t="str">
            <v>Y</v>
          </cell>
        </row>
        <row r="227">
          <cell r="H227">
            <v>1</v>
          </cell>
          <cell r="I227">
            <v>0</v>
          </cell>
          <cell r="BC227" t="str">
            <v>Exit</v>
          </cell>
          <cell r="BH227" t="str">
            <v>Y</v>
          </cell>
          <cell r="BI227" t="str">
            <v>Y</v>
          </cell>
        </row>
        <row r="228">
          <cell r="J228">
            <v>0</v>
          </cell>
          <cell r="L228">
            <v>0</v>
          </cell>
          <cell r="N228">
            <v>0</v>
          </cell>
          <cell r="P228">
            <v>0</v>
          </cell>
          <cell r="R228">
            <v>0</v>
          </cell>
          <cell r="U228">
            <v>2</v>
          </cell>
          <cell r="X228">
            <v>0</v>
          </cell>
          <cell r="BC228" t="str">
            <v>Exit</v>
          </cell>
          <cell r="BH228" t="str">
            <v>Y</v>
          </cell>
          <cell r="BI228" t="str">
            <v>Y</v>
          </cell>
        </row>
        <row r="229">
          <cell r="H229">
            <v>0</v>
          </cell>
          <cell r="I229">
            <v>0</v>
          </cell>
          <cell r="BC229" t="str">
            <v>Entry</v>
          </cell>
          <cell r="BH229" t="str">
            <v>Y</v>
          </cell>
          <cell r="BI229" t="str">
            <v>Y</v>
          </cell>
        </row>
        <row r="230">
          <cell r="J230">
            <v>0</v>
          </cell>
          <cell r="L230">
            <v>0</v>
          </cell>
          <cell r="N230">
            <v>0</v>
          </cell>
          <cell r="P230">
            <v>0</v>
          </cell>
          <cell r="R230">
            <v>0</v>
          </cell>
          <cell r="U230">
            <v>0</v>
          </cell>
          <cell r="X230">
            <v>1</v>
          </cell>
          <cell r="Y230">
            <v>4</v>
          </cell>
          <cell r="BC230" t="str">
            <v>Entry</v>
          </cell>
          <cell r="BH230" t="str">
            <v>Y</v>
          </cell>
          <cell r="BI230" t="str">
            <v>Y</v>
          </cell>
        </row>
        <row r="231">
          <cell r="H231">
            <v>0</v>
          </cell>
          <cell r="I231">
            <v>0</v>
          </cell>
          <cell r="BC231" t="str">
            <v>Exit</v>
          </cell>
          <cell r="BH231" t="str">
            <v>Y</v>
          </cell>
          <cell r="BI231" t="str">
            <v>Y</v>
          </cell>
        </row>
        <row r="232">
          <cell r="J232">
            <v>0</v>
          </cell>
          <cell r="L232">
            <v>0</v>
          </cell>
          <cell r="N232">
            <v>0</v>
          </cell>
          <cell r="P232">
            <v>0</v>
          </cell>
          <cell r="R232">
            <v>0</v>
          </cell>
          <cell r="U232">
            <v>0</v>
          </cell>
          <cell r="X232">
            <v>1</v>
          </cell>
          <cell r="Y232">
            <v>4</v>
          </cell>
          <cell r="BC232" t="str">
            <v>Exit</v>
          </cell>
          <cell r="BH232" t="str">
            <v>Y</v>
          </cell>
          <cell r="BI232" t="str">
            <v>Y</v>
          </cell>
        </row>
        <row r="233">
          <cell r="J233">
            <v>1</v>
          </cell>
          <cell r="L233">
            <v>0</v>
          </cell>
          <cell r="N233">
            <v>0</v>
          </cell>
          <cell r="P233">
            <v>0</v>
          </cell>
          <cell r="R233">
            <v>1</v>
          </cell>
          <cell r="U233">
            <v>0</v>
          </cell>
          <cell r="X233">
            <v>0</v>
          </cell>
          <cell r="BC233" t="str">
            <v>Entry</v>
          </cell>
          <cell r="BH233" t="str">
            <v>Y</v>
          </cell>
          <cell r="BI233" t="str">
            <v>Y</v>
          </cell>
        </row>
        <row r="234">
          <cell r="H234">
            <v>0</v>
          </cell>
          <cell r="I234">
            <v>1</v>
          </cell>
          <cell r="BC234" t="str">
            <v>Entry</v>
          </cell>
          <cell r="BH234" t="str">
            <v>Y</v>
          </cell>
          <cell r="BI234" t="str">
            <v>Y</v>
          </cell>
        </row>
        <row r="235">
          <cell r="J235">
            <v>1</v>
          </cell>
          <cell r="L235">
            <v>0</v>
          </cell>
          <cell r="N235">
            <v>0</v>
          </cell>
          <cell r="P235">
            <v>0</v>
          </cell>
          <cell r="R235">
            <v>1</v>
          </cell>
          <cell r="U235">
            <v>0</v>
          </cell>
          <cell r="X235">
            <v>0</v>
          </cell>
          <cell r="BC235" t="str">
            <v>Exit</v>
          </cell>
          <cell r="BH235" t="str">
            <v>Y</v>
          </cell>
          <cell r="BI235" t="str">
            <v>Y</v>
          </cell>
        </row>
        <row r="236">
          <cell r="H236">
            <v>1</v>
          </cell>
          <cell r="I236">
            <v>1</v>
          </cell>
          <cell r="BC236" t="str">
            <v>Exit</v>
          </cell>
          <cell r="BH236" t="str">
            <v>Y</v>
          </cell>
          <cell r="BI236" t="str">
            <v>Y</v>
          </cell>
        </row>
        <row r="237">
          <cell r="J237">
            <v>0</v>
          </cell>
          <cell r="L237">
            <v>0</v>
          </cell>
          <cell r="N237">
            <v>0</v>
          </cell>
          <cell r="P237">
            <v>0</v>
          </cell>
          <cell r="R237">
            <v>0</v>
          </cell>
          <cell r="U237">
            <v>1</v>
          </cell>
          <cell r="X237">
            <v>0</v>
          </cell>
          <cell r="BC237" t="str">
            <v>Entry</v>
          </cell>
          <cell r="BH237" t="str">
            <v>Y</v>
          </cell>
          <cell r="BI237" t="str">
            <v>Y</v>
          </cell>
        </row>
        <row r="238">
          <cell r="H238">
            <v>0</v>
          </cell>
          <cell r="I238">
            <v>1</v>
          </cell>
          <cell r="BC238" t="str">
            <v>Entry</v>
          </cell>
          <cell r="BH238" t="str">
            <v>Y</v>
          </cell>
          <cell r="BI238" t="str">
            <v>Y</v>
          </cell>
        </row>
        <row r="239">
          <cell r="H239">
            <v>0</v>
          </cell>
          <cell r="I239">
            <v>1</v>
          </cell>
          <cell r="BC239" t="str">
            <v>Exit</v>
          </cell>
          <cell r="BH239" t="str">
            <v>Y</v>
          </cell>
          <cell r="BI239" t="str">
            <v>Y</v>
          </cell>
        </row>
        <row r="240">
          <cell r="J240">
            <v>0</v>
          </cell>
          <cell r="L240">
            <v>0</v>
          </cell>
          <cell r="N240">
            <v>0</v>
          </cell>
          <cell r="P240">
            <v>0</v>
          </cell>
          <cell r="R240">
            <v>0</v>
          </cell>
          <cell r="U240">
            <v>1</v>
          </cell>
          <cell r="X240">
            <v>0</v>
          </cell>
          <cell r="BC240" t="str">
            <v>Exit</v>
          </cell>
          <cell r="BH240" t="str">
            <v>Y</v>
          </cell>
          <cell r="BI240" t="str">
            <v>Y</v>
          </cell>
        </row>
        <row r="241">
          <cell r="J241">
            <v>0</v>
          </cell>
          <cell r="L241">
            <v>0</v>
          </cell>
          <cell r="N241">
            <v>0</v>
          </cell>
          <cell r="P241">
            <v>0</v>
          </cell>
          <cell r="R241">
            <v>0</v>
          </cell>
          <cell r="U241">
            <v>0</v>
          </cell>
          <cell r="X241">
            <v>0</v>
          </cell>
          <cell r="BC241" t="str">
            <v>Entry</v>
          </cell>
          <cell r="BH241" t="str">
            <v>Y</v>
          </cell>
          <cell r="BI241" t="str">
            <v>Y</v>
          </cell>
        </row>
        <row r="242">
          <cell r="H242">
            <v>0</v>
          </cell>
          <cell r="I242">
            <v>0</v>
          </cell>
          <cell r="BC242" t="str">
            <v>Entry</v>
          </cell>
          <cell r="BH242" t="str">
            <v>Y</v>
          </cell>
          <cell r="BI242" t="str">
            <v>Y</v>
          </cell>
        </row>
        <row r="243">
          <cell r="H243">
            <v>1</v>
          </cell>
          <cell r="I243">
            <v>1</v>
          </cell>
          <cell r="BC243" t="str">
            <v>Neither</v>
          </cell>
          <cell r="BH243" t="str">
            <v>Y</v>
          </cell>
          <cell r="BI243" t="str">
            <v>Y</v>
          </cell>
        </row>
        <row r="244">
          <cell r="J244">
            <v>0</v>
          </cell>
          <cell r="L244">
            <v>0</v>
          </cell>
          <cell r="N244">
            <v>0</v>
          </cell>
          <cell r="P244">
            <v>0</v>
          </cell>
          <cell r="R244">
            <v>1</v>
          </cell>
          <cell r="U244">
            <v>0</v>
          </cell>
          <cell r="X244">
            <v>0</v>
          </cell>
          <cell r="BC244" t="str">
            <v>Exit</v>
          </cell>
          <cell r="BH244" t="str">
            <v>Y</v>
          </cell>
          <cell r="BI244" t="str">
            <v>Y</v>
          </cell>
        </row>
        <row r="245">
          <cell r="H245">
            <v>1</v>
          </cell>
          <cell r="I245">
            <v>1</v>
          </cell>
          <cell r="BC245" t="str">
            <v>Exit</v>
          </cell>
          <cell r="BH245" t="str">
            <v>Y</v>
          </cell>
          <cell r="BI245" t="str">
            <v>Y</v>
          </cell>
        </row>
        <row r="246">
          <cell r="H246">
            <v>0</v>
          </cell>
          <cell r="I246">
            <v>0</v>
          </cell>
          <cell r="BC246" t="str">
            <v>Entry</v>
          </cell>
          <cell r="BH246" t="str">
            <v>Y</v>
          </cell>
          <cell r="BI246" t="str">
            <v>Y</v>
          </cell>
        </row>
        <row r="247">
          <cell r="J247">
            <v>0</v>
          </cell>
          <cell r="L247">
            <v>0</v>
          </cell>
          <cell r="N247">
            <v>0</v>
          </cell>
          <cell r="P247">
            <v>0</v>
          </cell>
          <cell r="R247">
            <v>0</v>
          </cell>
          <cell r="U247">
            <v>0</v>
          </cell>
          <cell r="X247">
            <v>0</v>
          </cell>
          <cell r="BC247" t="str">
            <v>Entry</v>
          </cell>
          <cell r="BH247" t="str">
            <v>Y</v>
          </cell>
          <cell r="BI247" t="str">
            <v>Y</v>
          </cell>
        </row>
        <row r="248">
          <cell r="H248">
            <v>0</v>
          </cell>
          <cell r="I248">
            <v>0</v>
          </cell>
          <cell r="BC248" t="str">
            <v>Exit</v>
          </cell>
          <cell r="BH248" t="str">
            <v>Y</v>
          </cell>
          <cell r="BI248" t="str">
            <v>Y</v>
          </cell>
        </row>
        <row r="249">
          <cell r="J249">
            <v>0</v>
          </cell>
          <cell r="L249">
            <v>0</v>
          </cell>
          <cell r="N249">
            <v>0</v>
          </cell>
          <cell r="P249">
            <v>0</v>
          </cell>
          <cell r="R249">
            <v>0</v>
          </cell>
          <cell r="U249">
            <v>0</v>
          </cell>
          <cell r="X249">
            <v>0</v>
          </cell>
          <cell r="BC249" t="str">
            <v>Exit</v>
          </cell>
          <cell r="BH249" t="str">
            <v>Y</v>
          </cell>
          <cell r="BI249" t="str">
            <v>Y</v>
          </cell>
        </row>
        <row r="250">
          <cell r="J250">
            <v>0</v>
          </cell>
          <cell r="L250">
            <v>0</v>
          </cell>
          <cell r="N250">
            <v>0</v>
          </cell>
          <cell r="P250">
            <v>0</v>
          </cell>
          <cell r="R250">
            <v>0</v>
          </cell>
          <cell r="U250">
            <v>0</v>
          </cell>
          <cell r="X250">
            <v>0</v>
          </cell>
          <cell r="BC250" t="str">
            <v>Entry</v>
          </cell>
          <cell r="BH250" t="str">
            <v>Y</v>
          </cell>
          <cell r="BI250" t="str">
            <v>Y</v>
          </cell>
        </row>
        <row r="251">
          <cell r="H251">
            <v>0</v>
          </cell>
          <cell r="I251">
            <v>0</v>
          </cell>
          <cell r="BC251" t="str">
            <v>Entry</v>
          </cell>
          <cell r="BH251" t="str">
            <v>Y</v>
          </cell>
          <cell r="BI251" t="str">
            <v>Y</v>
          </cell>
        </row>
        <row r="252">
          <cell r="J252">
            <v>0</v>
          </cell>
          <cell r="L252">
            <v>0</v>
          </cell>
          <cell r="N252">
            <v>0</v>
          </cell>
          <cell r="P252">
            <v>0</v>
          </cell>
          <cell r="R252">
            <v>0</v>
          </cell>
          <cell r="U252">
            <v>0</v>
          </cell>
          <cell r="X252">
            <v>0</v>
          </cell>
          <cell r="BC252" t="str">
            <v>Exit</v>
          </cell>
          <cell r="BH252" t="str">
            <v>Y</v>
          </cell>
          <cell r="BI252" t="str">
            <v>Y</v>
          </cell>
        </row>
        <row r="253">
          <cell r="H253">
            <v>0</v>
          </cell>
          <cell r="I253">
            <v>0</v>
          </cell>
          <cell r="BC253" t="str">
            <v>Exit</v>
          </cell>
          <cell r="BH253" t="str">
            <v>Y</v>
          </cell>
          <cell r="BI253" t="str">
            <v>Y</v>
          </cell>
        </row>
        <row r="254">
          <cell r="H254">
            <v>0</v>
          </cell>
          <cell r="I254">
            <v>0</v>
          </cell>
          <cell r="BC254" t="str">
            <v>Entry</v>
          </cell>
          <cell r="BH254" t="str">
            <v>Y</v>
          </cell>
          <cell r="BI254" t="str">
            <v>Y</v>
          </cell>
        </row>
        <row r="255">
          <cell r="J255">
            <v>0</v>
          </cell>
          <cell r="L255">
            <v>0</v>
          </cell>
          <cell r="N255">
            <v>0</v>
          </cell>
          <cell r="P255">
            <v>0</v>
          </cell>
          <cell r="R255">
            <v>1</v>
          </cell>
          <cell r="U255">
            <v>0</v>
          </cell>
          <cell r="X255">
            <v>0</v>
          </cell>
          <cell r="BC255" t="str">
            <v>Entry</v>
          </cell>
          <cell r="BH255" t="str">
            <v>Y</v>
          </cell>
          <cell r="BI255" t="str">
            <v>Y</v>
          </cell>
        </row>
        <row r="256">
          <cell r="H256">
            <v>0</v>
          </cell>
          <cell r="I256">
            <v>0</v>
          </cell>
          <cell r="BC256" t="str">
            <v>Exit</v>
          </cell>
          <cell r="BH256" t="str">
            <v>Y</v>
          </cell>
          <cell r="BI256" t="str">
            <v>Y</v>
          </cell>
        </row>
        <row r="257">
          <cell r="J257">
            <v>0</v>
          </cell>
          <cell r="L257">
            <v>0</v>
          </cell>
          <cell r="N257">
            <v>0</v>
          </cell>
          <cell r="P257">
            <v>0</v>
          </cell>
          <cell r="R257">
            <v>1</v>
          </cell>
          <cell r="U257">
            <v>0</v>
          </cell>
          <cell r="X257">
            <v>0</v>
          </cell>
          <cell r="BC257" t="str">
            <v>Exit</v>
          </cell>
          <cell r="BH257" t="str">
            <v>Y</v>
          </cell>
          <cell r="BI257" t="str">
            <v>Y</v>
          </cell>
        </row>
        <row r="258">
          <cell r="H258">
            <v>0</v>
          </cell>
          <cell r="I258">
            <v>1</v>
          </cell>
          <cell r="BC258" t="str">
            <v>Entry</v>
          </cell>
          <cell r="BH258" t="str">
            <v>Y</v>
          </cell>
          <cell r="BI258" t="str">
            <v>Y</v>
          </cell>
        </row>
        <row r="259">
          <cell r="J259">
            <v>0</v>
          </cell>
          <cell r="L259">
            <v>0</v>
          </cell>
          <cell r="N259">
            <v>0</v>
          </cell>
          <cell r="P259">
            <v>0</v>
          </cell>
          <cell r="R259">
            <v>0</v>
          </cell>
          <cell r="U259">
            <v>3</v>
          </cell>
          <cell r="X259">
            <v>0</v>
          </cell>
          <cell r="BC259" t="str">
            <v>Entry</v>
          </cell>
          <cell r="BH259" t="str">
            <v>Y</v>
          </cell>
          <cell r="BI259" t="str">
            <v>Y</v>
          </cell>
        </row>
        <row r="260">
          <cell r="H260">
            <v>0</v>
          </cell>
          <cell r="I260">
            <v>1</v>
          </cell>
          <cell r="BC260" t="str">
            <v>Exit</v>
          </cell>
          <cell r="BH260" t="str">
            <v>Y</v>
          </cell>
          <cell r="BI260" t="str">
            <v>Y</v>
          </cell>
        </row>
        <row r="261">
          <cell r="J261">
            <v>0</v>
          </cell>
          <cell r="L261">
            <v>0</v>
          </cell>
          <cell r="N261">
            <v>0</v>
          </cell>
          <cell r="P261">
            <v>0</v>
          </cell>
          <cell r="R261">
            <v>0</v>
          </cell>
          <cell r="U261">
            <v>3</v>
          </cell>
          <cell r="X261">
            <v>0</v>
          </cell>
          <cell r="BC261" t="str">
            <v>Exit</v>
          </cell>
          <cell r="BH261" t="str">
            <v>Y</v>
          </cell>
          <cell r="BI261" t="str">
            <v>Y</v>
          </cell>
        </row>
        <row r="262">
          <cell r="H262">
            <v>0</v>
          </cell>
          <cell r="I262">
            <v>0</v>
          </cell>
          <cell r="BC262" t="str">
            <v>Entry</v>
          </cell>
          <cell r="BH262" t="str">
            <v>Y</v>
          </cell>
          <cell r="BI262" t="str">
            <v>Y</v>
          </cell>
        </row>
        <row r="263">
          <cell r="J263">
            <v>0</v>
          </cell>
          <cell r="L263">
            <v>0</v>
          </cell>
          <cell r="N263">
            <v>0</v>
          </cell>
          <cell r="P263">
            <v>1</v>
          </cell>
          <cell r="R263">
            <v>1</v>
          </cell>
          <cell r="U263">
            <v>0</v>
          </cell>
          <cell r="X263">
            <v>0</v>
          </cell>
          <cell r="BC263" t="str">
            <v>Entry</v>
          </cell>
          <cell r="BH263" t="str">
            <v>Y</v>
          </cell>
          <cell r="BI263" t="str">
            <v>Y</v>
          </cell>
        </row>
        <row r="264">
          <cell r="J264">
            <v>0</v>
          </cell>
          <cell r="L264">
            <v>0</v>
          </cell>
          <cell r="N264">
            <v>0</v>
          </cell>
          <cell r="P264">
            <v>1</v>
          </cell>
          <cell r="R264">
            <v>1</v>
          </cell>
          <cell r="U264">
            <v>0</v>
          </cell>
          <cell r="X264">
            <v>0</v>
          </cell>
          <cell r="BC264" t="str">
            <v>Exit</v>
          </cell>
          <cell r="BH264" t="str">
            <v>Y</v>
          </cell>
          <cell r="BI264" t="str">
            <v>Y</v>
          </cell>
        </row>
        <row r="265">
          <cell r="H265">
            <v>0</v>
          </cell>
          <cell r="I265">
            <v>0</v>
          </cell>
          <cell r="BC265" t="str">
            <v>Exit</v>
          </cell>
          <cell r="BH265" t="str">
            <v>Y</v>
          </cell>
          <cell r="BI265" t="str">
            <v>Y</v>
          </cell>
        </row>
        <row r="266">
          <cell r="J266">
            <v>0</v>
          </cell>
          <cell r="L266">
            <v>0</v>
          </cell>
          <cell r="N266">
            <v>0</v>
          </cell>
          <cell r="P266">
            <v>0</v>
          </cell>
          <cell r="R266">
            <v>0</v>
          </cell>
          <cell r="U266">
            <v>3</v>
          </cell>
          <cell r="X266">
            <v>0</v>
          </cell>
          <cell r="BC266" t="str">
            <v>Entry</v>
          </cell>
          <cell r="BH266" t="str">
            <v>Y</v>
          </cell>
          <cell r="BI266" t="str">
            <v>Y</v>
          </cell>
        </row>
        <row r="267">
          <cell r="H267">
            <v>1</v>
          </cell>
          <cell r="I267">
            <v>0</v>
          </cell>
          <cell r="BC267" t="str">
            <v>Entry</v>
          </cell>
          <cell r="BH267" t="str">
            <v>Y</v>
          </cell>
          <cell r="BI267" t="str">
            <v>Y</v>
          </cell>
        </row>
        <row r="268">
          <cell r="H268">
            <v>1</v>
          </cell>
          <cell r="I268">
            <v>0</v>
          </cell>
          <cell r="BC268" t="str">
            <v>Exit</v>
          </cell>
          <cell r="BH268" t="str">
            <v>Y</v>
          </cell>
          <cell r="BI268" t="str">
            <v>Y</v>
          </cell>
        </row>
        <row r="269">
          <cell r="J269">
            <v>0</v>
          </cell>
          <cell r="L269">
            <v>0</v>
          </cell>
          <cell r="N269">
            <v>0</v>
          </cell>
          <cell r="P269">
            <v>0</v>
          </cell>
          <cell r="R269">
            <v>0</v>
          </cell>
          <cell r="U269">
            <v>3</v>
          </cell>
          <cell r="X269">
            <v>0</v>
          </cell>
          <cell r="BC269" t="str">
            <v>Exit</v>
          </cell>
          <cell r="BH269" t="str">
            <v>Y</v>
          </cell>
          <cell r="BI269" t="str">
            <v>Y</v>
          </cell>
        </row>
        <row r="270">
          <cell r="H270">
            <v>1</v>
          </cell>
          <cell r="I270">
            <v>1</v>
          </cell>
          <cell r="BC270" t="str">
            <v>Entry</v>
          </cell>
          <cell r="BH270" t="str">
            <v>Y</v>
          </cell>
          <cell r="BI270" t="str">
            <v>Y</v>
          </cell>
        </row>
        <row r="271">
          <cell r="J271">
            <v>0</v>
          </cell>
          <cell r="L271">
            <v>0</v>
          </cell>
          <cell r="N271">
            <v>0</v>
          </cell>
          <cell r="P271">
            <v>0</v>
          </cell>
          <cell r="R271">
            <v>0</v>
          </cell>
          <cell r="U271">
            <v>0</v>
          </cell>
          <cell r="X271">
            <v>0</v>
          </cell>
          <cell r="BC271" t="str">
            <v>Entry</v>
          </cell>
          <cell r="BH271" t="str">
            <v>Y</v>
          </cell>
          <cell r="BI271" t="str">
            <v>Y</v>
          </cell>
        </row>
        <row r="272">
          <cell r="H272">
            <v>1</v>
          </cell>
          <cell r="I272">
            <v>1</v>
          </cell>
          <cell r="BC272" t="str">
            <v>Neither</v>
          </cell>
          <cell r="BH272" t="str">
            <v>Y</v>
          </cell>
          <cell r="BI272" t="str">
            <v>Y</v>
          </cell>
        </row>
        <row r="273">
          <cell r="J273">
            <v>0</v>
          </cell>
          <cell r="L273">
            <v>0</v>
          </cell>
          <cell r="N273">
            <v>0</v>
          </cell>
          <cell r="P273">
            <v>0</v>
          </cell>
          <cell r="R273">
            <v>0</v>
          </cell>
          <cell r="U273">
            <v>0</v>
          </cell>
          <cell r="X273">
            <v>0</v>
          </cell>
          <cell r="BC273" t="str">
            <v>Exit</v>
          </cell>
          <cell r="BH273" t="str">
            <v>Y</v>
          </cell>
          <cell r="BI273" t="str">
            <v>Y</v>
          </cell>
        </row>
        <row r="274">
          <cell r="H274">
            <v>1</v>
          </cell>
          <cell r="I274">
            <v>1</v>
          </cell>
          <cell r="BC274" t="str">
            <v>Exit</v>
          </cell>
          <cell r="BH274" t="str">
            <v>Y</v>
          </cell>
          <cell r="BI274" t="str">
            <v>Y</v>
          </cell>
        </row>
        <row r="275">
          <cell r="J275">
            <v>0</v>
          </cell>
          <cell r="L275">
            <v>0</v>
          </cell>
          <cell r="N275">
            <v>0</v>
          </cell>
          <cell r="P275">
            <v>0</v>
          </cell>
          <cell r="R275">
            <v>0</v>
          </cell>
          <cell r="U275">
            <v>0</v>
          </cell>
          <cell r="X275">
            <v>0</v>
          </cell>
          <cell r="BC275" t="str">
            <v>Entry</v>
          </cell>
          <cell r="BH275" t="str">
            <v>Y</v>
          </cell>
          <cell r="BI275" t="str">
            <v>Y</v>
          </cell>
        </row>
        <row r="276">
          <cell r="H276">
            <v>0</v>
          </cell>
          <cell r="I276">
            <v>0</v>
          </cell>
          <cell r="BC276" t="str">
            <v>Entry</v>
          </cell>
          <cell r="BH276" t="str">
            <v>Y</v>
          </cell>
          <cell r="BI276" t="str">
            <v>Y</v>
          </cell>
        </row>
        <row r="277">
          <cell r="J277">
            <v>0</v>
          </cell>
          <cell r="L277">
            <v>0</v>
          </cell>
          <cell r="N277">
            <v>0</v>
          </cell>
          <cell r="P277">
            <v>0</v>
          </cell>
          <cell r="R277">
            <v>0</v>
          </cell>
          <cell r="U277">
            <v>0</v>
          </cell>
          <cell r="X277">
            <v>0</v>
          </cell>
          <cell r="BC277" t="str">
            <v>Exit</v>
          </cell>
          <cell r="BH277" t="str">
            <v>Y</v>
          </cell>
          <cell r="BI277" t="str">
            <v>Y</v>
          </cell>
        </row>
        <row r="278">
          <cell r="H278">
            <v>0</v>
          </cell>
          <cell r="I278">
            <v>0</v>
          </cell>
          <cell r="BC278" t="str">
            <v>Exit</v>
          </cell>
          <cell r="BH278" t="str">
            <v>Y</v>
          </cell>
          <cell r="BI278" t="str">
            <v>Y</v>
          </cell>
        </row>
        <row r="279">
          <cell r="H279">
            <v>0</v>
          </cell>
          <cell r="I279">
            <v>0</v>
          </cell>
          <cell r="BC279" t="str">
            <v>Entry</v>
          </cell>
          <cell r="BH279" t="str">
            <v>Y</v>
          </cell>
          <cell r="BI279" t="str">
            <v>Y</v>
          </cell>
        </row>
        <row r="280">
          <cell r="J280">
            <v>0</v>
          </cell>
          <cell r="L280">
            <v>0</v>
          </cell>
          <cell r="N280">
            <v>0</v>
          </cell>
          <cell r="P280">
            <v>0</v>
          </cell>
          <cell r="R280">
            <v>0</v>
          </cell>
          <cell r="U280">
            <v>0</v>
          </cell>
          <cell r="X280">
            <v>0</v>
          </cell>
          <cell r="BC280" t="str">
            <v>Entry</v>
          </cell>
          <cell r="BH280" t="str">
            <v>Y</v>
          </cell>
          <cell r="BI280" t="str">
            <v>Y</v>
          </cell>
        </row>
        <row r="281">
          <cell r="H281">
            <v>0</v>
          </cell>
          <cell r="I281">
            <v>0</v>
          </cell>
          <cell r="BC281" t="str">
            <v>Exit</v>
          </cell>
          <cell r="BH281" t="str">
            <v>Y</v>
          </cell>
          <cell r="BI281" t="str">
            <v>Y</v>
          </cell>
        </row>
        <row r="282">
          <cell r="J282">
            <v>0</v>
          </cell>
          <cell r="L282">
            <v>0</v>
          </cell>
          <cell r="N282">
            <v>0</v>
          </cell>
          <cell r="P282">
            <v>0</v>
          </cell>
          <cell r="R282">
            <v>0</v>
          </cell>
          <cell r="U282">
            <v>0</v>
          </cell>
          <cell r="X282">
            <v>0</v>
          </cell>
          <cell r="BC282" t="str">
            <v>Exit</v>
          </cell>
          <cell r="BH282" t="str">
            <v>Y</v>
          </cell>
          <cell r="BI282" t="str">
            <v>Y</v>
          </cell>
        </row>
        <row r="283">
          <cell r="J283">
            <v>0</v>
          </cell>
          <cell r="L283">
            <v>0</v>
          </cell>
          <cell r="N283">
            <v>0</v>
          </cell>
          <cell r="P283">
            <v>0</v>
          </cell>
          <cell r="R283">
            <v>0</v>
          </cell>
          <cell r="U283">
            <v>8</v>
          </cell>
          <cell r="X283">
            <v>0</v>
          </cell>
          <cell r="BC283" t="str">
            <v>Entry</v>
          </cell>
          <cell r="BH283" t="str">
            <v>Y</v>
          </cell>
          <cell r="BI283" t="str">
            <v>Y</v>
          </cell>
        </row>
        <row r="284">
          <cell r="H284">
            <v>1</v>
          </cell>
          <cell r="I284">
            <v>0</v>
          </cell>
          <cell r="BC284" t="str">
            <v>Entry</v>
          </cell>
          <cell r="BH284" t="str">
            <v>Y</v>
          </cell>
          <cell r="BI284" t="str">
            <v>Y</v>
          </cell>
        </row>
        <row r="285">
          <cell r="H285">
            <v>1</v>
          </cell>
          <cell r="I285">
            <v>0</v>
          </cell>
          <cell r="BC285" t="str">
            <v>Exit</v>
          </cell>
          <cell r="BH285" t="str">
            <v>Y</v>
          </cell>
          <cell r="BI285" t="str">
            <v>Y</v>
          </cell>
        </row>
        <row r="286">
          <cell r="J286">
            <v>0</v>
          </cell>
          <cell r="L286">
            <v>0</v>
          </cell>
          <cell r="N286">
            <v>0</v>
          </cell>
          <cell r="P286">
            <v>0</v>
          </cell>
          <cell r="R286">
            <v>0</v>
          </cell>
          <cell r="U286">
            <v>1</v>
          </cell>
          <cell r="X286">
            <v>0</v>
          </cell>
          <cell r="BC286" t="str">
            <v>Exit</v>
          </cell>
          <cell r="BH286" t="str">
            <v>Y</v>
          </cell>
          <cell r="BI286" t="str">
            <v>Y</v>
          </cell>
        </row>
        <row r="287">
          <cell r="J287">
            <v>0</v>
          </cell>
          <cell r="L287">
            <v>0</v>
          </cell>
          <cell r="N287">
            <v>0</v>
          </cell>
          <cell r="P287">
            <v>0</v>
          </cell>
          <cell r="R287">
            <v>0</v>
          </cell>
          <cell r="U287">
            <v>0</v>
          </cell>
          <cell r="X287">
            <v>0</v>
          </cell>
          <cell r="BC287" t="str">
            <v>Entry</v>
          </cell>
          <cell r="BH287" t="str">
            <v>Y</v>
          </cell>
          <cell r="BI287" t="str">
            <v>Y</v>
          </cell>
        </row>
        <row r="288">
          <cell r="H288">
            <v>0</v>
          </cell>
          <cell r="I288">
            <v>0</v>
          </cell>
          <cell r="BC288" t="str">
            <v>Entry</v>
          </cell>
          <cell r="BH288" t="str">
            <v>Y</v>
          </cell>
          <cell r="BI288" t="str">
            <v>Y</v>
          </cell>
        </row>
        <row r="289">
          <cell r="J289">
            <v>0</v>
          </cell>
          <cell r="L289">
            <v>0</v>
          </cell>
          <cell r="N289">
            <v>0</v>
          </cell>
          <cell r="P289">
            <v>0</v>
          </cell>
          <cell r="R289">
            <v>0</v>
          </cell>
          <cell r="U289">
            <v>0</v>
          </cell>
          <cell r="X289">
            <v>0</v>
          </cell>
          <cell r="BC289" t="str">
            <v>Exit</v>
          </cell>
          <cell r="BH289" t="str">
            <v>Y</v>
          </cell>
          <cell r="BI289" t="str">
            <v>Y</v>
          </cell>
        </row>
        <row r="290">
          <cell r="H290">
            <v>0</v>
          </cell>
          <cell r="I290">
            <v>0</v>
          </cell>
          <cell r="BC290" t="str">
            <v>Exit</v>
          </cell>
          <cell r="BH290" t="str">
            <v>Y</v>
          </cell>
          <cell r="BI290" t="str">
            <v>Y</v>
          </cell>
        </row>
        <row r="291">
          <cell r="H291">
            <v>0</v>
          </cell>
          <cell r="I291">
            <v>1</v>
          </cell>
          <cell r="BC291" t="str">
            <v>Entry</v>
          </cell>
          <cell r="BH291" t="str">
            <v>Y</v>
          </cell>
          <cell r="BI291" t="str">
            <v>Y</v>
          </cell>
        </row>
        <row r="292">
          <cell r="J292">
            <v>0</v>
          </cell>
          <cell r="L292">
            <v>0</v>
          </cell>
          <cell r="N292">
            <v>0</v>
          </cell>
          <cell r="P292">
            <v>0</v>
          </cell>
          <cell r="R292">
            <v>0</v>
          </cell>
          <cell r="U292">
            <v>0</v>
          </cell>
          <cell r="X292">
            <v>1</v>
          </cell>
          <cell r="Y292">
            <v>1</v>
          </cell>
          <cell r="BC292" t="str">
            <v>Entry</v>
          </cell>
          <cell r="BH292" t="str">
            <v>Y</v>
          </cell>
          <cell r="BI292" t="str">
            <v>Y</v>
          </cell>
        </row>
        <row r="293">
          <cell r="H293">
            <v>1</v>
          </cell>
          <cell r="I293">
            <v>1</v>
          </cell>
          <cell r="BC293" t="str">
            <v>Neither</v>
          </cell>
          <cell r="BH293" t="str">
            <v>Y</v>
          </cell>
          <cell r="BI293" t="str">
            <v>Y</v>
          </cell>
        </row>
        <row r="294">
          <cell r="J294">
            <v>0</v>
          </cell>
          <cell r="L294">
            <v>0</v>
          </cell>
          <cell r="N294">
            <v>0</v>
          </cell>
          <cell r="P294">
            <v>0</v>
          </cell>
          <cell r="R294">
            <v>0</v>
          </cell>
          <cell r="U294">
            <v>0</v>
          </cell>
          <cell r="X294">
            <v>1</v>
          </cell>
          <cell r="Y294">
            <v>3</v>
          </cell>
          <cell r="BC294" t="str">
            <v>Exit</v>
          </cell>
          <cell r="BH294" t="str">
            <v>Y</v>
          </cell>
          <cell r="BI294" t="str">
            <v>Y</v>
          </cell>
        </row>
        <row r="295">
          <cell r="H295">
            <v>1</v>
          </cell>
          <cell r="I295">
            <v>1</v>
          </cell>
          <cell r="BC295" t="str">
            <v>Exit</v>
          </cell>
          <cell r="BH295" t="str">
            <v>Y</v>
          </cell>
          <cell r="BI295" t="str">
            <v>Y</v>
          </cell>
        </row>
        <row r="296">
          <cell r="J296">
            <v>0</v>
          </cell>
          <cell r="L296">
            <v>0</v>
          </cell>
          <cell r="N296">
            <v>0</v>
          </cell>
          <cell r="P296">
            <v>0</v>
          </cell>
          <cell r="R296">
            <v>0</v>
          </cell>
          <cell r="U296">
            <v>0</v>
          </cell>
          <cell r="X296">
            <v>0</v>
          </cell>
          <cell r="BC296" t="str">
            <v>Entry</v>
          </cell>
          <cell r="BH296" t="str">
            <v>Y</v>
          </cell>
          <cell r="BI296" t="str">
            <v>Y</v>
          </cell>
        </row>
        <row r="297">
          <cell r="H297">
            <v>0</v>
          </cell>
          <cell r="I297">
            <v>0</v>
          </cell>
          <cell r="BC297" t="str">
            <v>Entry</v>
          </cell>
          <cell r="BH297" t="str">
            <v>Y</v>
          </cell>
          <cell r="BI297" t="str">
            <v>Y</v>
          </cell>
        </row>
        <row r="298">
          <cell r="J298">
            <v>0</v>
          </cell>
          <cell r="L298">
            <v>0</v>
          </cell>
          <cell r="N298">
            <v>0</v>
          </cell>
          <cell r="P298">
            <v>0</v>
          </cell>
          <cell r="R298">
            <v>0</v>
          </cell>
          <cell r="U298">
            <v>0</v>
          </cell>
          <cell r="X298">
            <v>0</v>
          </cell>
          <cell r="BC298" t="str">
            <v>Exit</v>
          </cell>
          <cell r="BH298" t="str">
            <v>Y</v>
          </cell>
          <cell r="BI298" t="str">
            <v>Y</v>
          </cell>
        </row>
        <row r="299">
          <cell r="H299">
            <v>0</v>
          </cell>
          <cell r="I299">
            <v>0</v>
          </cell>
          <cell r="BC299" t="str">
            <v>Exit</v>
          </cell>
          <cell r="BH299" t="str">
            <v>Y</v>
          </cell>
          <cell r="BI299" t="str">
            <v>Y</v>
          </cell>
        </row>
        <row r="300">
          <cell r="H300">
            <v>0</v>
          </cell>
          <cell r="I300">
            <v>0</v>
          </cell>
          <cell r="BC300" t="str">
            <v>Entry</v>
          </cell>
          <cell r="BH300" t="str">
            <v>Y</v>
          </cell>
          <cell r="BI300" t="str">
            <v>Y</v>
          </cell>
        </row>
        <row r="301">
          <cell r="J301">
            <v>0</v>
          </cell>
          <cell r="L301">
            <v>0</v>
          </cell>
          <cell r="N301">
            <v>0</v>
          </cell>
          <cell r="P301">
            <v>0</v>
          </cell>
          <cell r="R301">
            <v>0</v>
          </cell>
          <cell r="U301">
            <v>3</v>
          </cell>
          <cell r="X301">
            <v>0</v>
          </cell>
          <cell r="BC301" t="str">
            <v>Entry</v>
          </cell>
          <cell r="BH301" t="str">
            <v>Y</v>
          </cell>
          <cell r="BI301" t="str">
            <v>Y</v>
          </cell>
        </row>
        <row r="302">
          <cell r="J302">
            <v>0</v>
          </cell>
          <cell r="L302">
            <v>0</v>
          </cell>
          <cell r="N302">
            <v>0</v>
          </cell>
          <cell r="P302">
            <v>0</v>
          </cell>
          <cell r="R302">
            <v>0</v>
          </cell>
          <cell r="U302">
            <v>3</v>
          </cell>
          <cell r="X302">
            <v>0</v>
          </cell>
          <cell r="BC302" t="str">
            <v>Exit</v>
          </cell>
          <cell r="BH302" t="str">
            <v>Y</v>
          </cell>
          <cell r="BI302" t="str">
            <v>Y</v>
          </cell>
        </row>
        <row r="303">
          <cell r="H303">
            <v>1</v>
          </cell>
          <cell r="I303">
            <v>0</v>
          </cell>
          <cell r="BC303" t="str">
            <v>Exit</v>
          </cell>
          <cell r="BH303" t="str">
            <v>Y</v>
          </cell>
          <cell r="BI303" t="str">
            <v>Y</v>
          </cell>
        </row>
        <row r="304">
          <cell r="H304">
            <v>0</v>
          </cell>
          <cell r="I304">
            <v>0</v>
          </cell>
          <cell r="BC304" t="str">
            <v>Entry</v>
          </cell>
          <cell r="BH304" t="str">
            <v>Y</v>
          </cell>
          <cell r="BI304" t="str">
            <v>Y</v>
          </cell>
        </row>
        <row r="305">
          <cell r="J305">
            <v>1</v>
          </cell>
          <cell r="L305">
            <v>0</v>
          </cell>
          <cell r="N305">
            <v>0</v>
          </cell>
          <cell r="P305">
            <v>0</v>
          </cell>
          <cell r="R305">
            <v>0</v>
          </cell>
          <cell r="U305">
            <v>1</v>
          </cell>
          <cell r="X305">
            <v>0</v>
          </cell>
          <cell r="BC305" t="str">
            <v>Entry</v>
          </cell>
          <cell r="BH305" t="str">
            <v>Y</v>
          </cell>
          <cell r="BI305" t="str">
            <v>Y</v>
          </cell>
        </row>
        <row r="306">
          <cell r="J306">
            <v>1</v>
          </cell>
          <cell r="L306">
            <v>0</v>
          </cell>
          <cell r="N306">
            <v>0</v>
          </cell>
          <cell r="P306">
            <v>0</v>
          </cell>
          <cell r="R306">
            <v>0</v>
          </cell>
          <cell r="U306">
            <v>1</v>
          </cell>
          <cell r="X306">
            <v>0</v>
          </cell>
          <cell r="BC306" t="str">
            <v>Exit</v>
          </cell>
          <cell r="BH306" t="str">
            <v>Y</v>
          </cell>
          <cell r="BI306" t="str">
            <v>Y</v>
          </cell>
        </row>
        <row r="307">
          <cell r="H307">
            <v>0</v>
          </cell>
          <cell r="I307">
            <v>0</v>
          </cell>
          <cell r="BC307" t="str">
            <v>Exit</v>
          </cell>
          <cell r="BH307" t="str">
            <v>Y</v>
          </cell>
          <cell r="BI307" t="str">
            <v>Y</v>
          </cell>
        </row>
        <row r="308">
          <cell r="H308">
            <v>1</v>
          </cell>
          <cell r="I308">
            <v>1</v>
          </cell>
          <cell r="BC308" t="str">
            <v>Entry</v>
          </cell>
          <cell r="BH308" t="str">
            <v>Y</v>
          </cell>
          <cell r="BI308" t="str">
            <v>Y</v>
          </cell>
        </row>
        <row r="309">
          <cell r="J309">
            <v>0</v>
          </cell>
          <cell r="L309">
            <v>0</v>
          </cell>
          <cell r="N309">
            <v>0</v>
          </cell>
          <cell r="P309">
            <v>0</v>
          </cell>
          <cell r="R309">
            <v>0</v>
          </cell>
          <cell r="U309">
            <v>0</v>
          </cell>
          <cell r="X309">
            <v>0</v>
          </cell>
          <cell r="BC309" t="str">
            <v>Entry</v>
          </cell>
          <cell r="BH309" t="str">
            <v>Y</v>
          </cell>
          <cell r="BI309" t="str">
            <v>Y</v>
          </cell>
        </row>
        <row r="310">
          <cell r="J310">
            <v>0</v>
          </cell>
          <cell r="L310">
            <v>0</v>
          </cell>
          <cell r="N310">
            <v>0</v>
          </cell>
          <cell r="P310">
            <v>0</v>
          </cell>
          <cell r="R310">
            <v>0</v>
          </cell>
          <cell r="U310">
            <v>0</v>
          </cell>
          <cell r="X310">
            <v>0</v>
          </cell>
          <cell r="BC310" t="str">
            <v>Exit</v>
          </cell>
          <cell r="BH310" t="str">
            <v>Y</v>
          </cell>
          <cell r="BI310" t="str">
            <v>Y</v>
          </cell>
        </row>
        <row r="311">
          <cell r="H311">
            <v>1</v>
          </cell>
          <cell r="I311">
            <v>1</v>
          </cell>
          <cell r="BC311" t="str">
            <v>Exit</v>
          </cell>
          <cell r="BH311" t="str">
            <v>Y</v>
          </cell>
          <cell r="BI311" t="str">
            <v>Y</v>
          </cell>
        </row>
        <row r="312">
          <cell r="J312">
            <v>0</v>
          </cell>
          <cell r="L312">
            <v>0</v>
          </cell>
          <cell r="N312">
            <v>0</v>
          </cell>
          <cell r="P312">
            <v>0</v>
          </cell>
          <cell r="R312">
            <v>0</v>
          </cell>
          <cell r="U312">
            <v>0</v>
          </cell>
          <cell r="X312">
            <v>0</v>
          </cell>
          <cell r="BC312" t="str">
            <v>Entry</v>
          </cell>
          <cell r="BH312" t="str">
            <v>Y</v>
          </cell>
          <cell r="BI312" t="str">
            <v>Y</v>
          </cell>
        </row>
        <row r="313">
          <cell r="H313">
            <v>0</v>
          </cell>
          <cell r="I313">
            <v>0</v>
          </cell>
          <cell r="BC313" t="str">
            <v>Entry</v>
          </cell>
          <cell r="BH313" t="str">
            <v>Y</v>
          </cell>
          <cell r="BI313" t="str">
            <v>Y</v>
          </cell>
        </row>
        <row r="314">
          <cell r="H314">
            <v>0</v>
          </cell>
          <cell r="I314">
            <v>0</v>
          </cell>
          <cell r="BC314" t="str">
            <v>Exit</v>
          </cell>
          <cell r="BH314" t="str">
            <v>Y</v>
          </cell>
          <cell r="BI314" t="str">
            <v>Y</v>
          </cell>
        </row>
        <row r="315">
          <cell r="J315">
            <v>0</v>
          </cell>
          <cell r="L315">
            <v>0</v>
          </cell>
          <cell r="N315">
            <v>0</v>
          </cell>
          <cell r="P315">
            <v>0</v>
          </cell>
          <cell r="R315">
            <v>0</v>
          </cell>
          <cell r="U315">
            <v>0</v>
          </cell>
          <cell r="X315">
            <v>0</v>
          </cell>
          <cell r="BC315" t="str">
            <v>Exit</v>
          </cell>
          <cell r="BH315" t="str">
            <v>Y</v>
          </cell>
          <cell r="BI315" t="str">
            <v>Y</v>
          </cell>
        </row>
        <row r="316">
          <cell r="H316">
            <v>0</v>
          </cell>
          <cell r="I316">
            <v>0</v>
          </cell>
          <cell r="BC316" t="str">
            <v>Entry</v>
          </cell>
          <cell r="BH316" t="str">
            <v>Y</v>
          </cell>
          <cell r="BI316" t="str">
            <v>Y</v>
          </cell>
        </row>
        <row r="317">
          <cell r="J317">
            <v>0</v>
          </cell>
          <cell r="L317">
            <v>0</v>
          </cell>
          <cell r="N317">
            <v>0</v>
          </cell>
          <cell r="P317">
            <v>0</v>
          </cell>
          <cell r="R317">
            <v>0</v>
          </cell>
          <cell r="U317">
            <v>0</v>
          </cell>
          <cell r="X317">
            <v>0</v>
          </cell>
          <cell r="BC317" t="str">
            <v>Entry</v>
          </cell>
          <cell r="BH317" t="str">
            <v>Y</v>
          </cell>
          <cell r="BI317" t="str">
            <v>Y</v>
          </cell>
        </row>
        <row r="318">
          <cell r="J318">
            <v>0</v>
          </cell>
          <cell r="L318">
            <v>0</v>
          </cell>
          <cell r="N318">
            <v>0</v>
          </cell>
          <cell r="P318">
            <v>0</v>
          </cell>
          <cell r="R318">
            <v>0</v>
          </cell>
          <cell r="U318">
            <v>0</v>
          </cell>
          <cell r="X318">
            <v>0</v>
          </cell>
          <cell r="BC318" t="str">
            <v>Exit</v>
          </cell>
          <cell r="BH318" t="str">
            <v>Y</v>
          </cell>
          <cell r="BI318" t="str">
            <v>Y</v>
          </cell>
        </row>
        <row r="319">
          <cell r="H319">
            <v>0</v>
          </cell>
          <cell r="I319">
            <v>0</v>
          </cell>
          <cell r="BC319" t="str">
            <v>Exit</v>
          </cell>
          <cell r="BH319" t="str">
            <v>Y</v>
          </cell>
          <cell r="BI319" t="str">
            <v>Y</v>
          </cell>
        </row>
        <row r="320">
          <cell r="J320">
            <v>0</v>
          </cell>
          <cell r="L320">
            <v>0</v>
          </cell>
          <cell r="N320">
            <v>0</v>
          </cell>
          <cell r="P320">
            <v>0</v>
          </cell>
          <cell r="R320">
            <v>0</v>
          </cell>
          <cell r="U320">
            <v>0</v>
          </cell>
          <cell r="X320">
            <v>0</v>
          </cell>
          <cell r="BC320" t="str">
            <v>Entry</v>
          </cell>
          <cell r="BH320" t="str">
            <v>Y</v>
          </cell>
          <cell r="BI320" t="str">
            <v>Y</v>
          </cell>
        </row>
        <row r="321">
          <cell r="H321">
            <v>1</v>
          </cell>
          <cell r="I321">
            <v>1</v>
          </cell>
          <cell r="BC321" t="str">
            <v>Entry</v>
          </cell>
          <cell r="BH321" t="str">
            <v>Y</v>
          </cell>
          <cell r="BI321" t="str">
            <v>Y</v>
          </cell>
        </row>
        <row r="322">
          <cell r="H322">
            <v>1</v>
          </cell>
          <cell r="I322">
            <v>1</v>
          </cell>
          <cell r="BC322" t="str">
            <v>Exit</v>
          </cell>
          <cell r="BH322" t="str">
            <v>Y</v>
          </cell>
          <cell r="BI322" t="str">
            <v>Y</v>
          </cell>
        </row>
        <row r="323">
          <cell r="J323">
            <v>0</v>
          </cell>
          <cell r="L323">
            <v>0</v>
          </cell>
          <cell r="N323">
            <v>0</v>
          </cell>
          <cell r="P323">
            <v>0</v>
          </cell>
          <cell r="R323">
            <v>0</v>
          </cell>
          <cell r="U323">
            <v>0</v>
          </cell>
          <cell r="X323">
            <v>0</v>
          </cell>
          <cell r="BC323" t="str">
            <v>Exit</v>
          </cell>
          <cell r="BH323" t="str">
            <v>Y</v>
          </cell>
          <cell r="BI323" t="str">
            <v>Y</v>
          </cell>
        </row>
        <row r="324">
          <cell r="H324">
            <v>0</v>
          </cell>
          <cell r="I324">
            <v>0</v>
          </cell>
          <cell r="BC324" t="str">
            <v>Entry</v>
          </cell>
          <cell r="BH324" t="str">
            <v>Y</v>
          </cell>
          <cell r="BI324" t="str">
            <v>Y</v>
          </cell>
        </row>
        <row r="325">
          <cell r="J325">
            <v>0</v>
          </cell>
          <cell r="L325">
            <v>0</v>
          </cell>
          <cell r="N325">
            <v>0</v>
          </cell>
          <cell r="P325">
            <v>0</v>
          </cell>
          <cell r="R325">
            <v>0</v>
          </cell>
          <cell r="U325">
            <v>0</v>
          </cell>
          <cell r="X325">
            <v>0</v>
          </cell>
          <cell r="BC325" t="str">
            <v>Entry</v>
          </cell>
          <cell r="BH325" t="str">
            <v>Y</v>
          </cell>
          <cell r="BI325" t="str">
            <v>Y</v>
          </cell>
        </row>
        <row r="326">
          <cell r="J326">
            <v>0</v>
          </cell>
          <cell r="L326">
            <v>0</v>
          </cell>
          <cell r="N326">
            <v>0</v>
          </cell>
          <cell r="P326">
            <v>0</v>
          </cell>
          <cell r="R326">
            <v>0</v>
          </cell>
          <cell r="U326">
            <v>0</v>
          </cell>
          <cell r="X326">
            <v>0</v>
          </cell>
          <cell r="BC326" t="str">
            <v>Exit</v>
          </cell>
          <cell r="BH326" t="str">
            <v>Y</v>
          </cell>
          <cell r="BI326" t="str">
            <v>Y</v>
          </cell>
        </row>
        <row r="327">
          <cell r="H327">
            <v>0</v>
          </cell>
          <cell r="I327">
            <v>0</v>
          </cell>
          <cell r="BC327" t="str">
            <v>Exit</v>
          </cell>
          <cell r="BH327" t="str">
            <v>Y</v>
          </cell>
          <cell r="BI327" t="str">
            <v>Y</v>
          </cell>
        </row>
        <row r="328">
          <cell r="H328">
            <v>1</v>
          </cell>
          <cell r="I328">
            <v>1</v>
          </cell>
          <cell r="BC328" t="str">
            <v>Entry</v>
          </cell>
          <cell r="BH328" t="str">
            <v>Y</v>
          </cell>
          <cell r="BI328" t="str">
            <v>Y</v>
          </cell>
        </row>
        <row r="329">
          <cell r="J329">
            <v>0</v>
          </cell>
          <cell r="L329">
            <v>0</v>
          </cell>
          <cell r="N329">
            <v>0</v>
          </cell>
          <cell r="P329">
            <v>0</v>
          </cell>
          <cell r="R329">
            <v>0</v>
          </cell>
          <cell r="U329">
            <v>0</v>
          </cell>
          <cell r="X329">
            <v>0</v>
          </cell>
          <cell r="BC329" t="str">
            <v>Entry</v>
          </cell>
          <cell r="BH329" t="str">
            <v>Y</v>
          </cell>
          <cell r="BI329" t="str">
            <v>Y</v>
          </cell>
        </row>
        <row r="330">
          <cell r="H330">
            <v>1</v>
          </cell>
          <cell r="I330">
            <v>1</v>
          </cell>
          <cell r="BC330" t="str">
            <v>Exit</v>
          </cell>
          <cell r="BH330" t="str">
            <v>Y</v>
          </cell>
          <cell r="BI330" t="str">
            <v>Y</v>
          </cell>
        </row>
        <row r="331">
          <cell r="J331">
            <v>0</v>
          </cell>
          <cell r="L331">
            <v>0</v>
          </cell>
          <cell r="N331">
            <v>0</v>
          </cell>
          <cell r="P331">
            <v>0</v>
          </cell>
          <cell r="R331">
            <v>0</v>
          </cell>
          <cell r="U331">
            <v>0</v>
          </cell>
          <cell r="X331">
            <v>0</v>
          </cell>
          <cell r="BC331" t="str">
            <v>Exit</v>
          </cell>
          <cell r="BH331" t="str">
            <v>Y</v>
          </cell>
          <cell r="BI331" t="str">
            <v>Y</v>
          </cell>
        </row>
        <row r="332">
          <cell r="J332">
            <v>0</v>
          </cell>
          <cell r="L332">
            <v>0</v>
          </cell>
          <cell r="N332">
            <v>0</v>
          </cell>
          <cell r="P332">
            <v>0</v>
          </cell>
          <cell r="R332">
            <v>0</v>
          </cell>
          <cell r="U332">
            <v>3</v>
          </cell>
          <cell r="X332">
            <v>0</v>
          </cell>
          <cell r="BC332" t="str">
            <v>Entry</v>
          </cell>
          <cell r="BH332" t="str">
            <v>Y</v>
          </cell>
          <cell r="BI332" t="str">
            <v>Y</v>
          </cell>
        </row>
        <row r="333">
          <cell r="H333">
            <v>0</v>
          </cell>
          <cell r="I333">
            <v>1</v>
          </cell>
          <cell r="BC333" t="str">
            <v>Entry</v>
          </cell>
          <cell r="BH333" t="str">
            <v>Y</v>
          </cell>
          <cell r="BI333" t="str">
            <v>Y</v>
          </cell>
        </row>
        <row r="334">
          <cell r="H334">
            <v>0</v>
          </cell>
          <cell r="I334">
            <v>1</v>
          </cell>
          <cell r="BC334" t="str">
            <v>Exit</v>
          </cell>
          <cell r="BH334" t="str">
            <v>Y</v>
          </cell>
          <cell r="BI334" t="str">
            <v>Y</v>
          </cell>
        </row>
        <row r="335">
          <cell r="J335">
            <v>0</v>
          </cell>
          <cell r="L335">
            <v>0</v>
          </cell>
          <cell r="N335">
            <v>0</v>
          </cell>
          <cell r="P335">
            <v>0</v>
          </cell>
          <cell r="R335">
            <v>0</v>
          </cell>
          <cell r="U335">
            <v>3</v>
          </cell>
          <cell r="X335">
            <v>0</v>
          </cell>
          <cell r="BC335" t="str">
            <v>Exit</v>
          </cell>
          <cell r="BH335" t="str">
            <v>Y</v>
          </cell>
          <cell r="BI335" t="str">
            <v>Y</v>
          </cell>
        </row>
        <row r="336">
          <cell r="H336">
            <v>1</v>
          </cell>
          <cell r="I336">
            <v>1</v>
          </cell>
          <cell r="BC336" t="str">
            <v>Entry</v>
          </cell>
          <cell r="BH336" t="str">
            <v>Y</v>
          </cell>
          <cell r="BI336" t="str">
            <v>Y</v>
          </cell>
        </row>
        <row r="337">
          <cell r="J337">
            <v>0</v>
          </cell>
          <cell r="L337">
            <v>0</v>
          </cell>
          <cell r="N337">
            <v>0</v>
          </cell>
          <cell r="P337">
            <v>0</v>
          </cell>
          <cell r="R337">
            <v>0</v>
          </cell>
          <cell r="U337">
            <v>0</v>
          </cell>
          <cell r="X337">
            <v>0</v>
          </cell>
          <cell r="BC337" t="str">
            <v>Entry</v>
          </cell>
          <cell r="BH337" t="str">
            <v>Y</v>
          </cell>
          <cell r="BI337" t="str">
            <v>Y</v>
          </cell>
        </row>
        <row r="338">
          <cell r="H338">
            <v>1</v>
          </cell>
          <cell r="I338">
            <v>1</v>
          </cell>
          <cell r="BC338" t="str">
            <v>Exit</v>
          </cell>
          <cell r="BH338" t="str">
            <v>Y</v>
          </cell>
          <cell r="BI338" t="str">
            <v>Y</v>
          </cell>
        </row>
        <row r="339">
          <cell r="J339">
            <v>0</v>
          </cell>
          <cell r="L339">
            <v>0</v>
          </cell>
          <cell r="N339">
            <v>0</v>
          </cell>
          <cell r="P339">
            <v>0</v>
          </cell>
          <cell r="R339">
            <v>0</v>
          </cell>
          <cell r="U339">
            <v>0</v>
          </cell>
          <cell r="X339">
            <v>0</v>
          </cell>
          <cell r="BC339" t="str">
            <v>Exit</v>
          </cell>
          <cell r="BH339" t="str">
            <v>Y</v>
          </cell>
          <cell r="BI339" t="str">
            <v>Y</v>
          </cell>
        </row>
        <row r="340">
          <cell r="J340">
            <v>0</v>
          </cell>
          <cell r="L340">
            <v>0</v>
          </cell>
          <cell r="N340">
            <v>0</v>
          </cell>
          <cell r="P340">
            <v>0</v>
          </cell>
          <cell r="R340">
            <v>0</v>
          </cell>
          <cell r="U340">
            <v>0</v>
          </cell>
          <cell r="X340">
            <v>0</v>
          </cell>
          <cell r="BC340" t="str">
            <v>Entry</v>
          </cell>
          <cell r="BH340" t="str">
            <v>Y</v>
          </cell>
          <cell r="BI340" t="str">
            <v>Y</v>
          </cell>
        </row>
        <row r="341">
          <cell r="H341">
            <v>0</v>
          </cell>
          <cell r="I341">
            <v>0</v>
          </cell>
          <cell r="BC341" t="str">
            <v>Entry</v>
          </cell>
          <cell r="BH341" t="str">
            <v>Y</v>
          </cell>
          <cell r="BI341" t="str">
            <v>Y</v>
          </cell>
        </row>
        <row r="342">
          <cell r="J342">
            <v>0</v>
          </cell>
          <cell r="L342">
            <v>0</v>
          </cell>
          <cell r="N342">
            <v>0</v>
          </cell>
          <cell r="P342">
            <v>0</v>
          </cell>
          <cell r="R342">
            <v>0</v>
          </cell>
          <cell r="U342">
            <v>0</v>
          </cell>
          <cell r="X342">
            <v>0</v>
          </cell>
          <cell r="BC342" t="str">
            <v>Exit</v>
          </cell>
          <cell r="BH342" t="str">
            <v>Y</v>
          </cell>
          <cell r="BI342" t="str">
            <v>Y</v>
          </cell>
        </row>
        <row r="343">
          <cell r="H343">
            <v>0</v>
          </cell>
          <cell r="I343">
            <v>0</v>
          </cell>
          <cell r="BC343" t="str">
            <v>Exit</v>
          </cell>
          <cell r="BH343" t="str">
            <v>Y</v>
          </cell>
          <cell r="BI343" t="str">
            <v>Y</v>
          </cell>
        </row>
        <row r="344">
          <cell r="H344">
            <v>0</v>
          </cell>
          <cell r="I344">
            <v>0</v>
          </cell>
          <cell r="BC344" t="str">
            <v>Entry</v>
          </cell>
          <cell r="BH344" t="str">
            <v>Y</v>
          </cell>
          <cell r="BI344" t="str">
            <v>Y</v>
          </cell>
        </row>
        <row r="345">
          <cell r="J345">
            <v>0</v>
          </cell>
          <cell r="L345">
            <v>0</v>
          </cell>
          <cell r="N345">
            <v>1</v>
          </cell>
          <cell r="P345">
            <v>0</v>
          </cell>
          <cell r="R345">
            <v>0</v>
          </cell>
          <cell r="U345">
            <v>0</v>
          </cell>
          <cell r="X345">
            <v>0</v>
          </cell>
          <cell r="BC345" t="str">
            <v>Entry</v>
          </cell>
          <cell r="BH345" t="str">
            <v>Y</v>
          </cell>
          <cell r="BI345" t="str">
            <v>Y</v>
          </cell>
        </row>
        <row r="346">
          <cell r="H346">
            <v>0</v>
          </cell>
          <cell r="I346">
            <v>0</v>
          </cell>
          <cell r="BC346" t="str">
            <v>Exit</v>
          </cell>
          <cell r="BH346" t="str">
            <v>Y</v>
          </cell>
          <cell r="BI346" t="str">
            <v>Y</v>
          </cell>
        </row>
        <row r="347">
          <cell r="J347">
            <v>0</v>
          </cell>
          <cell r="L347">
            <v>0</v>
          </cell>
          <cell r="N347">
            <v>1</v>
          </cell>
          <cell r="P347">
            <v>0</v>
          </cell>
          <cell r="R347">
            <v>0</v>
          </cell>
          <cell r="U347">
            <v>0</v>
          </cell>
          <cell r="X347">
            <v>0</v>
          </cell>
          <cell r="BC347" t="str">
            <v>Exit</v>
          </cell>
          <cell r="BH347" t="str">
            <v>Y</v>
          </cell>
          <cell r="BI347" t="str">
            <v>Y</v>
          </cell>
        </row>
        <row r="348">
          <cell r="J348">
            <v>0</v>
          </cell>
          <cell r="L348">
            <v>0</v>
          </cell>
          <cell r="N348">
            <v>0</v>
          </cell>
          <cell r="P348">
            <v>0</v>
          </cell>
          <cell r="R348">
            <v>0</v>
          </cell>
          <cell r="U348">
            <v>0</v>
          </cell>
          <cell r="X348">
            <v>0</v>
          </cell>
          <cell r="BC348" t="str">
            <v>Entry</v>
          </cell>
          <cell r="BH348" t="str">
            <v>Y</v>
          </cell>
          <cell r="BI348" t="str">
            <v>Y</v>
          </cell>
        </row>
        <row r="349">
          <cell r="H349">
            <v>0</v>
          </cell>
          <cell r="I349">
            <v>0</v>
          </cell>
          <cell r="BC349" t="str">
            <v>Entry</v>
          </cell>
          <cell r="BH349" t="str">
            <v>Y</v>
          </cell>
          <cell r="BI349" t="str">
            <v>Y</v>
          </cell>
        </row>
        <row r="350">
          <cell r="J350">
            <v>0</v>
          </cell>
          <cell r="L350">
            <v>0</v>
          </cell>
          <cell r="N350">
            <v>0</v>
          </cell>
          <cell r="P350">
            <v>0</v>
          </cell>
          <cell r="R350">
            <v>0</v>
          </cell>
          <cell r="U350">
            <v>0</v>
          </cell>
          <cell r="X350">
            <v>0</v>
          </cell>
          <cell r="BC350" t="str">
            <v>Exit</v>
          </cell>
          <cell r="BH350" t="str">
            <v>Y</v>
          </cell>
          <cell r="BI350" t="str">
            <v>Y</v>
          </cell>
        </row>
        <row r="351">
          <cell r="H351">
            <v>0</v>
          </cell>
          <cell r="I351">
            <v>0</v>
          </cell>
          <cell r="BC351" t="str">
            <v>Exit</v>
          </cell>
          <cell r="BH351" t="str">
            <v>Y</v>
          </cell>
          <cell r="BI351" t="str">
            <v>Y</v>
          </cell>
        </row>
        <row r="352">
          <cell r="J352">
            <v>0</v>
          </cell>
          <cell r="L352">
            <v>0</v>
          </cell>
          <cell r="N352">
            <v>0</v>
          </cell>
          <cell r="P352">
            <v>0</v>
          </cell>
          <cell r="R352">
            <v>0</v>
          </cell>
          <cell r="U352">
            <v>0</v>
          </cell>
          <cell r="X352">
            <v>0</v>
          </cell>
          <cell r="BC352" t="str">
            <v>Entry</v>
          </cell>
          <cell r="BH352" t="str">
            <v>Y</v>
          </cell>
          <cell r="BI352" t="str">
            <v>Y</v>
          </cell>
        </row>
        <row r="353">
          <cell r="H353">
            <v>0</v>
          </cell>
          <cell r="I353">
            <v>0</v>
          </cell>
          <cell r="BC353" t="str">
            <v>Entry</v>
          </cell>
          <cell r="BH353" t="str">
            <v>Y</v>
          </cell>
          <cell r="BI353" t="str">
            <v>Y</v>
          </cell>
        </row>
        <row r="354">
          <cell r="H354">
            <v>1</v>
          </cell>
          <cell r="I354">
            <v>1</v>
          </cell>
          <cell r="BC354" t="str">
            <v>Exit</v>
          </cell>
          <cell r="BH354" t="str">
            <v>Y</v>
          </cell>
          <cell r="BI354" t="str">
            <v>Y</v>
          </cell>
        </row>
        <row r="355">
          <cell r="J355">
            <v>1</v>
          </cell>
          <cell r="L355">
            <v>0</v>
          </cell>
          <cell r="N355">
            <v>0</v>
          </cell>
          <cell r="P355">
            <v>0</v>
          </cell>
          <cell r="R355">
            <v>0</v>
          </cell>
          <cell r="U355">
            <v>0</v>
          </cell>
          <cell r="X355">
            <v>0</v>
          </cell>
          <cell r="BC355" t="str">
            <v>Exit</v>
          </cell>
          <cell r="BH355" t="str">
            <v>Y</v>
          </cell>
          <cell r="BI355" t="str">
            <v>Y</v>
          </cell>
        </row>
        <row r="356">
          <cell r="H356">
            <v>0</v>
          </cell>
          <cell r="I356">
            <v>0</v>
          </cell>
          <cell r="BC356" t="str">
            <v>Entry</v>
          </cell>
          <cell r="BH356" t="str">
            <v>Y</v>
          </cell>
          <cell r="BI356" t="str">
            <v>Y</v>
          </cell>
        </row>
        <row r="357">
          <cell r="J357">
            <v>0</v>
          </cell>
          <cell r="L357">
            <v>0</v>
          </cell>
          <cell r="N357">
            <v>0</v>
          </cell>
          <cell r="P357">
            <v>0</v>
          </cell>
          <cell r="R357">
            <v>0</v>
          </cell>
          <cell r="U357">
            <v>0</v>
          </cell>
          <cell r="X357">
            <v>0</v>
          </cell>
          <cell r="BC357" t="str">
            <v>Entry</v>
          </cell>
          <cell r="BH357" t="str">
            <v>Y</v>
          </cell>
          <cell r="BI357" t="str">
            <v>Y</v>
          </cell>
        </row>
        <row r="358">
          <cell r="J358">
            <v>0</v>
          </cell>
          <cell r="L358">
            <v>0</v>
          </cell>
          <cell r="N358">
            <v>0</v>
          </cell>
          <cell r="P358">
            <v>0</v>
          </cell>
          <cell r="R358">
            <v>0</v>
          </cell>
          <cell r="U358">
            <v>0</v>
          </cell>
          <cell r="X358">
            <v>0</v>
          </cell>
          <cell r="BC358" t="str">
            <v>Exit</v>
          </cell>
          <cell r="BH358" t="str">
            <v>Y</v>
          </cell>
          <cell r="BI358" t="str">
            <v>Y</v>
          </cell>
        </row>
        <row r="359">
          <cell r="H359">
            <v>0</v>
          </cell>
          <cell r="I359">
            <v>0</v>
          </cell>
          <cell r="BC359" t="str">
            <v>Exit</v>
          </cell>
          <cell r="BH359" t="str">
            <v>Y</v>
          </cell>
          <cell r="BI359" t="str">
            <v>Y</v>
          </cell>
        </row>
        <row r="360">
          <cell r="H360">
            <v>1</v>
          </cell>
          <cell r="I360">
            <v>1</v>
          </cell>
          <cell r="BC360" t="str">
            <v>Entry</v>
          </cell>
          <cell r="BH360" t="str">
            <v>Y</v>
          </cell>
          <cell r="BI360" t="str">
            <v>Y</v>
          </cell>
        </row>
        <row r="361">
          <cell r="J361">
            <v>0</v>
          </cell>
          <cell r="L361">
            <v>0</v>
          </cell>
          <cell r="N361">
            <v>0</v>
          </cell>
          <cell r="P361">
            <v>0</v>
          </cell>
          <cell r="R361">
            <v>0</v>
          </cell>
          <cell r="U361">
            <v>0</v>
          </cell>
          <cell r="X361">
            <v>0</v>
          </cell>
          <cell r="BC361" t="str">
            <v>Entry</v>
          </cell>
          <cell r="BH361" t="str">
            <v>Y</v>
          </cell>
          <cell r="BI361" t="str">
            <v>Y</v>
          </cell>
        </row>
        <row r="362">
          <cell r="H362">
            <v>1</v>
          </cell>
          <cell r="I362">
            <v>1</v>
          </cell>
          <cell r="BC362" t="str">
            <v>Exit</v>
          </cell>
          <cell r="BH362" t="str">
            <v>Y</v>
          </cell>
          <cell r="BI362" t="str">
            <v>Y</v>
          </cell>
        </row>
        <row r="363">
          <cell r="H363">
            <v>1</v>
          </cell>
          <cell r="I363">
            <v>1</v>
          </cell>
          <cell r="BC363" t="str">
            <v>Exit</v>
          </cell>
          <cell r="BH363" t="str">
            <v>Y</v>
          </cell>
          <cell r="BI363" t="str">
            <v>Y</v>
          </cell>
        </row>
        <row r="364">
          <cell r="J364">
            <v>0</v>
          </cell>
          <cell r="L364">
            <v>0</v>
          </cell>
          <cell r="N364">
            <v>0</v>
          </cell>
          <cell r="P364">
            <v>0</v>
          </cell>
          <cell r="R364">
            <v>0</v>
          </cell>
          <cell r="U364">
            <v>0</v>
          </cell>
          <cell r="X364">
            <v>0</v>
          </cell>
          <cell r="BC364" t="str">
            <v>Exit</v>
          </cell>
          <cell r="BH364" t="str">
            <v>Y</v>
          </cell>
          <cell r="BI364" t="str">
            <v>Y</v>
          </cell>
        </row>
        <row r="365">
          <cell r="J365">
            <v>0</v>
          </cell>
          <cell r="L365">
            <v>0</v>
          </cell>
          <cell r="N365">
            <v>0</v>
          </cell>
          <cell r="P365">
            <v>0</v>
          </cell>
          <cell r="R365">
            <v>0</v>
          </cell>
          <cell r="U365">
            <v>0</v>
          </cell>
          <cell r="X365">
            <v>0</v>
          </cell>
          <cell r="BC365" t="str">
            <v>Entry</v>
          </cell>
          <cell r="BH365" t="str">
            <v>Y</v>
          </cell>
          <cell r="BI365" t="str">
            <v>Y</v>
          </cell>
        </row>
        <row r="366">
          <cell r="H366">
            <v>0</v>
          </cell>
          <cell r="I366">
            <v>0</v>
          </cell>
          <cell r="BC366" t="str">
            <v>Entry</v>
          </cell>
          <cell r="BH366" t="str">
            <v>Y</v>
          </cell>
          <cell r="BI366" t="str">
            <v>Y</v>
          </cell>
        </row>
        <row r="367">
          <cell r="J367">
            <v>0</v>
          </cell>
          <cell r="L367">
            <v>0</v>
          </cell>
          <cell r="N367">
            <v>0</v>
          </cell>
          <cell r="P367">
            <v>0</v>
          </cell>
          <cell r="R367">
            <v>0</v>
          </cell>
          <cell r="U367">
            <v>0</v>
          </cell>
          <cell r="X367">
            <v>0</v>
          </cell>
          <cell r="BC367" t="str">
            <v>Exit</v>
          </cell>
          <cell r="BH367" t="str">
            <v>Y</v>
          </cell>
          <cell r="BI367" t="str">
            <v>Y</v>
          </cell>
        </row>
        <row r="368">
          <cell r="H368">
            <v>0</v>
          </cell>
          <cell r="I368">
            <v>0</v>
          </cell>
          <cell r="BC368" t="str">
            <v>Exit</v>
          </cell>
          <cell r="BH368" t="str">
            <v>Y</v>
          </cell>
          <cell r="BI368" t="str">
            <v>Y</v>
          </cell>
        </row>
        <row r="369">
          <cell r="H369">
            <v>0</v>
          </cell>
          <cell r="I369">
            <v>0</v>
          </cell>
          <cell r="BC369" t="str">
            <v>Exit</v>
          </cell>
          <cell r="BH369" t="str">
            <v>Y</v>
          </cell>
          <cell r="BI369" t="str">
            <v>Y</v>
          </cell>
        </row>
        <row r="370">
          <cell r="H370">
            <v>0</v>
          </cell>
          <cell r="I370">
            <v>0</v>
          </cell>
          <cell r="BC370" t="str">
            <v>Entry</v>
          </cell>
          <cell r="BH370" t="str">
            <v>Y</v>
          </cell>
          <cell r="BI370" t="str">
            <v>Y</v>
          </cell>
        </row>
        <row r="371">
          <cell r="J371">
            <v>0</v>
          </cell>
          <cell r="L371">
            <v>0</v>
          </cell>
          <cell r="N371">
            <v>0</v>
          </cell>
          <cell r="P371">
            <v>0</v>
          </cell>
          <cell r="R371">
            <v>0</v>
          </cell>
          <cell r="U371">
            <v>0</v>
          </cell>
          <cell r="X371">
            <v>0</v>
          </cell>
          <cell r="BC371" t="str">
            <v>Entry</v>
          </cell>
          <cell r="BH371" t="str">
            <v>Y</v>
          </cell>
          <cell r="BI371" t="str">
            <v>Y</v>
          </cell>
        </row>
        <row r="372">
          <cell r="H372">
            <v>0</v>
          </cell>
          <cell r="I372">
            <v>0</v>
          </cell>
          <cell r="BC372" t="str">
            <v>Exit</v>
          </cell>
          <cell r="BH372" t="str">
            <v>Y</v>
          </cell>
          <cell r="BI372" t="str">
            <v>Y</v>
          </cell>
        </row>
        <row r="373">
          <cell r="H373">
            <v>0</v>
          </cell>
          <cell r="I373">
            <v>0</v>
          </cell>
          <cell r="BC373" t="str">
            <v>Exit</v>
          </cell>
          <cell r="BH373" t="str">
            <v>Y</v>
          </cell>
          <cell r="BI373" t="str">
            <v>Y</v>
          </cell>
        </row>
        <row r="374">
          <cell r="J374">
            <v>0</v>
          </cell>
          <cell r="L374">
            <v>0</v>
          </cell>
          <cell r="N374">
            <v>0</v>
          </cell>
          <cell r="P374">
            <v>0</v>
          </cell>
          <cell r="R374">
            <v>0</v>
          </cell>
          <cell r="U374">
            <v>0</v>
          </cell>
          <cell r="X374">
            <v>0</v>
          </cell>
          <cell r="BC374" t="str">
            <v>Exit</v>
          </cell>
          <cell r="BH374" t="str">
            <v>Y</v>
          </cell>
          <cell r="BI374" t="str">
            <v>Y</v>
          </cell>
        </row>
        <row r="375">
          <cell r="J375">
            <v>0</v>
          </cell>
          <cell r="L375">
            <v>0</v>
          </cell>
          <cell r="N375">
            <v>0</v>
          </cell>
          <cell r="P375">
            <v>0</v>
          </cell>
          <cell r="R375">
            <v>0</v>
          </cell>
          <cell r="U375">
            <v>0</v>
          </cell>
          <cell r="X375">
            <v>0</v>
          </cell>
          <cell r="BC375" t="str">
            <v>Entry</v>
          </cell>
          <cell r="BH375" t="str">
            <v>Y</v>
          </cell>
          <cell r="BI375" t="str">
            <v>Y</v>
          </cell>
        </row>
        <row r="376">
          <cell r="H376">
            <v>0</v>
          </cell>
          <cell r="I376">
            <v>0</v>
          </cell>
          <cell r="BC376" t="str">
            <v>Entry</v>
          </cell>
          <cell r="BH376" t="str">
            <v>Y</v>
          </cell>
          <cell r="BI376" t="str">
            <v>Y</v>
          </cell>
        </row>
        <row r="377">
          <cell r="H377">
            <v>0</v>
          </cell>
          <cell r="I377">
            <v>0</v>
          </cell>
          <cell r="BC377" t="str">
            <v>Exit</v>
          </cell>
          <cell r="BH377" t="str">
            <v>Y</v>
          </cell>
          <cell r="BI377" t="str">
            <v>Y</v>
          </cell>
        </row>
        <row r="378">
          <cell r="H378">
            <v>0</v>
          </cell>
          <cell r="I378">
            <v>0</v>
          </cell>
          <cell r="BC378" t="str">
            <v>Exit</v>
          </cell>
          <cell r="BH378" t="str">
            <v>Y</v>
          </cell>
          <cell r="BI378" t="str">
            <v>Y</v>
          </cell>
        </row>
        <row r="379">
          <cell r="H379">
            <v>0</v>
          </cell>
          <cell r="I379">
            <v>0</v>
          </cell>
          <cell r="BC379" t="str">
            <v>Entry</v>
          </cell>
          <cell r="BH379" t="str">
            <v>Y</v>
          </cell>
          <cell r="BI379" t="str">
            <v>Y</v>
          </cell>
        </row>
        <row r="380">
          <cell r="J380">
            <v>0</v>
          </cell>
          <cell r="L380">
            <v>0</v>
          </cell>
          <cell r="N380">
            <v>0</v>
          </cell>
          <cell r="P380">
            <v>0</v>
          </cell>
          <cell r="R380">
            <v>0</v>
          </cell>
          <cell r="U380">
            <v>0</v>
          </cell>
          <cell r="X380">
            <v>0</v>
          </cell>
          <cell r="BC380" t="str">
            <v>Entry</v>
          </cell>
          <cell r="BH380" t="str">
            <v>Y</v>
          </cell>
          <cell r="BI380" t="str">
            <v>Y</v>
          </cell>
        </row>
        <row r="381">
          <cell r="H381">
            <v>0</v>
          </cell>
          <cell r="I381">
            <v>0</v>
          </cell>
          <cell r="BC381" t="str">
            <v>Exit</v>
          </cell>
          <cell r="BH381" t="str">
            <v>Y</v>
          </cell>
          <cell r="BI381" t="str">
            <v>Y</v>
          </cell>
        </row>
        <row r="382">
          <cell r="H382">
            <v>0</v>
          </cell>
          <cell r="I382">
            <v>0</v>
          </cell>
          <cell r="BC382" t="str">
            <v>Exit</v>
          </cell>
          <cell r="BH382" t="str">
            <v>Y</v>
          </cell>
          <cell r="BI382" t="str">
            <v>Y</v>
          </cell>
        </row>
        <row r="383">
          <cell r="J383">
            <v>0</v>
          </cell>
          <cell r="L383">
            <v>0</v>
          </cell>
          <cell r="N383">
            <v>0</v>
          </cell>
          <cell r="P383">
            <v>0</v>
          </cell>
          <cell r="R383">
            <v>0</v>
          </cell>
          <cell r="U383">
            <v>0</v>
          </cell>
          <cell r="X383">
            <v>0</v>
          </cell>
          <cell r="BC383" t="str">
            <v>Exit</v>
          </cell>
          <cell r="BH383" t="str">
            <v>Y</v>
          </cell>
          <cell r="BI383" t="str">
            <v>Y</v>
          </cell>
        </row>
        <row r="384">
          <cell r="J384">
            <v>0</v>
          </cell>
          <cell r="L384">
            <v>0</v>
          </cell>
          <cell r="N384">
            <v>0</v>
          </cell>
          <cell r="P384">
            <v>0</v>
          </cell>
          <cell r="R384">
            <v>1</v>
          </cell>
          <cell r="U384">
            <v>2</v>
          </cell>
          <cell r="X384">
            <v>0</v>
          </cell>
          <cell r="BC384" t="str">
            <v>Entry</v>
          </cell>
          <cell r="BH384" t="str">
            <v>Y</v>
          </cell>
          <cell r="BI384" t="str">
            <v>Y</v>
          </cell>
        </row>
        <row r="385">
          <cell r="H385">
            <v>0</v>
          </cell>
          <cell r="I385">
            <v>1</v>
          </cell>
          <cell r="BC385" t="str">
            <v>Entry</v>
          </cell>
          <cell r="BH385" t="str">
            <v>Y</v>
          </cell>
          <cell r="BI385" t="str">
            <v>Y</v>
          </cell>
        </row>
        <row r="386">
          <cell r="H386">
            <v>0</v>
          </cell>
          <cell r="I386">
            <v>1</v>
          </cell>
          <cell r="BC386" t="str">
            <v>Exit</v>
          </cell>
          <cell r="BH386" t="str">
            <v>Y</v>
          </cell>
          <cell r="BI386" t="str">
            <v>Y</v>
          </cell>
        </row>
        <row r="387">
          <cell r="J387">
            <v>0</v>
          </cell>
          <cell r="L387">
            <v>0</v>
          </cell>
          <cell r="N387">
            <v>0</v>
          </cell>
          <cell r="P387">
            <v>0</v>
          </cell>
          <cell r="R387">
            <v>1</v>
          </cell>
          <cell r="U387">
            <v>2</v>
          </cell>
          <cell r="X387">
            <v>0</v>
          </cell>
          <cell r="BC387" t="str">
            <v>Exit</v>
          </cell>
          <cell r="BH387" t="str">
            <v>Y</v>
          </cell>
          <cell r="BI387" t="str">
            <v>Y</v>
          </cell>
        </row>
        <row r="388">
          <cell r="H388">
            <v>1</v>
          </cell>
          <cell r="I388">
            <v>1</v>
          </cell>
          <cell r="BC388" t="str">
            <v>Entry</v>
          </cell>
          <cell r="BH388" t="str">
            <v>Y</v>
          </cell>
          <cell r="BI388" t="str">
            <v>Y</v>
          </cell>
        </row>
        <row r="389">
          <cell r="J389">
            <v>0</v>
          </cell>
          <cell r="L389">
            <v>0</v>
          </cell>
          <cell r="N389">
            <v>0</v>
          </cell>
          <cell r="P389">
            <v>0</v>
          </cell>
          <cell r="R389">
            <v>0</v>
          </cell>
          <cell r="U389">
            <v>0</v>
          </cell>
          <cell r="X389">
            <v>0</v>
          </cell>
          <cell r="BC389" t="str">
            <v>Entry</v>
          </cell>
          <cell r="BH389" t="str">
            <v>Y</v>
          </cell>
          <cell r="BI389" t="str">
            <v>Y</v>
          </cell>
        </row>
        <row r="390">
          <cell r="H390">
            <v>1</v>
          </cell>
          <cell r="I390">
            <v>1</v>
          </cell>
          <cell r="BC390" t="str">
            <v>Neither</v>
          </cell>
          <cell r="BH390" t="str">
            <v>Y</v>
          </cell>
          <cell r="BI390" t="str">
            <v>Y</v>
          </cell>
        </row>
        <row r="391">
          <cell r="H391">
            <v>1</v>
          </cell>
          <cell r="I391">
            <v>1</v>
          </cell>
          <cell r="BC391" t="str">
            <v>Neither</v>
          </cell>
          <cell r="BH391" t="str">
            <v>Y</v>
          </cell>
          <cell r="BI391" t="str">
            <v>Y</v>
          </cell>
        </row>
        <row r="392">
          <cell r="H392">
            <v>0</v>
          </cell>
          <cell r="I392">
            <v>0</v>
          </cell>
          <cell r="BC392" t="str">
            <v>Entry</v>
          </cell>
          <cell r="BH392" t="str">
            <v>Y</v>
          </cell>
          <cell r="BI392" t="str">
            <v>Y</v>
          </cell>
        </row>
        <row r="393">
          <cell r="J393">
            <v>0</v>
          </cell>
          <cell r="L393">
            <v>0</v>
          </cell>
          <cell r="N393">
            <v>0</v>
          </cell>
          <cell r="P393">
            <v>0</v>
          </cell>
          <cell r="R393">
            <v>0</v>
          </cell>
          <cell r="U393">
            <v>0</v>
          </cell>
          <cell r="X393">
            <v>0</v>
          </cell>
          <cell r="BC393" t="str">
            <v>Entry</v>
          </cell>
          <cell r="BH393" t="str">
            <v>Y</v>
          </cell>
          <cell r="BI393" t="str">
            <v>Y</v>
          </cell>
        </row>
        <row r="394">
          <cell r="J394">
            <v>0</v>
          </cell>
          <cell r="L394">
            <v>0</v>
          </cell>
          <cell r="N394">
            <v>0</v>
          </cell>
          <cell r="P394">
            <v>0</v>
          </cell>
          <cell r="R394">
            <v>0</v>
          </cell>
          <cell r="U394">
            <v>0</v>
          </cell>
          <cell r="X394">
            <v>0</v>
          </cell>
          <cell r="BC394" t="str">
            <v>Entry</v>
          </cell>
          <cell r="BH394" t="str">
            <v>Y</v>
          </cell>
          <cell r="BI394" t="str">
            <v>Y</v>
          </cell>
        </row>
        <row r="395">
          <cell r="H395">
            <v>0</v>
          </cell>
          <cell r="I395">
            <v>0</v>
          </cell>
          <cell r="BC395" t="str">
            <v>Entry</v>
          </cell>
          <cell r="BH395" t="str">
            <v>Y</v>
          </cell>
          <cell r="BI395" t="str">
            <v>Y</v>
          </cell>
        </row>
        <row r="396">
          <cell r="H396">
            <v>1</v>
          </cell>
          <cell r="I396">
            <v>1</v>
          </cell>
          <cell r="BC396" t="str">
            <v>Entry</v>
          </cell>
          <cell r="BH396" t="str">
            <v>Y</v>
          </cell>
          <cell r="BI396" t="str">
            <v>Y</v>
          </cell>
        </row>
        <row r="397">
          <cell r="J397">
            <v>0</v>
          </cell>
          <cell r="L397">
            <v>0</v>
          </cell>
          <cell r="N397">
            <v>0</v>
          </cell>
          <cell r="P397">
            <v>0</v>
          </cell>
          <cell r="R397">
            <v>0</v>
          </cell>
          <cell r="U397">
            <v>0</v>
          </cell>
          <cell r="X397">
            <v>0</v>
          </cell>
          <cell r="BC397" t="str">
            <v>Entry</v>
          </cell>
          <cell r="BH397" t="str">
            <v>Y</v>
          </cell>
          <cell r="BI397" t="str">
            <v>Y</v>
          </cell>
        </row>
        <row r="398">
          <cell r="J398">
            <v>0</v>
          </cell>
          <cell r="L398">
            <v>0</v>
          </cell>
          <cell r="N398">
            <v>0</v>
          </cell>
          <cell r="P398">
            <v>0</v>
          </cell>
          <cell r="R398">
            <v>0</v>
          </cell>
          <cell r="U398">
            <v>0</v>
          </cell>
          <cell r="X398">
            <v>0</v>
          </cell>
          <cell r="BC398" t="str">
            <v>Exit</v>
          </cell>
          <cell r="BH398" t="str">
            <v>Y</v>
          </cell>
          <cell r="BI398" t="str">
            <v>Y</v>
          </cell>
        </row>
        <row r="399">
          <cell r="H399">
            <v>1</v>
          </cell>
          <cell r="I399">
            <v>1</v>
          </cell>
          <cell r="BC399" t="str">
            <v>Exit</v>
          </cell>
          <cell r="BH399" t="str">
            <v>Y</v>
          </cell>
          <cell r="BI399" t="str">
            <v>Y</v>
          </cell>
        </row>
        <row r="400">
          <cell r="J400">
            <v>0</v>
          </cell>
          <cell r="L400">
            <v>0</v>
          </cell>
          <cell r="N400">
            <v>0</v>
          </cell>
          <cell r="P400">
            <v>0</v>
          </cell>
          <cell r="R400">
            <v>0</v>
          </cell>
          <cell r="U400">
            <v>0</v>
          </cell>
          <cell r="X400">
            <v>0</v>
          </cell>
          <cell r="BC400" t="str">
            <v>Entry</v>
          </cell>
          <cell r="BH400" t="str">
            <v>Y</v>
          </cell>
          <cell r="BI400" t="str">
            <v>Y</v>
          </cell>
        </row>
        <row r="401">
          <cell r="H401">
            <v>0</v>
          </cell>
          <cell r="I401">
            <v>0</v>
          </cell>
          <cell r="BC401" t="str">
            <v>Entry</v>
          </cell>
          <cell r="BH401" t="str">
            <v>Y</v>
          </cell>
          <cell r="BI401" t="str">
            <v>Y</v>
          </cell>
        </row>
        <row r="402">
          <cell r="H402">
            <v>0</v>
          </cell>
          <cell r="I402">
            <v>0</v>
          </cell>
          <cell r="BC402" t="str">
            <v>Exit</v>
          </cell>
          <cell r="BH402" t="str">
            <v>Y</v>
          </cell>
          <cell r="BI402" t="str">
            <v>Y</v>
          </cell>
        </row>
        <row r="403">
          <cell r="J403">
            <v>0</v>
          </cell>
          <cell r="L403">
            <v>0</v>
          </cell>
          <cell r="N403">
            <v>0</v>
          </cell>
          <cell r="P403">
            <v>0</v>
          </cell>
          <cell r="R403">
            <v>0</v>
          </cell>
          <cell r="U403">
            <v>0</v>
          </cell>
          <cell r="X403">
            <v>0</v>
          </cell>
          <cell r="BC403" t="str">
            <v>Exit</v>
          </cell>
          <cell r="BH403" t="str">
            <v>Y</v>
          </cell>
          <cell r="BI403" t="str">
            <v>Y</v>
          </cell>
        </row>
        <row r="404">
          <cell r="H404">
            <v>0</v>
          </cell>
          <cell r="I404">
            <v>0</v>
          </cell>
          <cell r="BC404" t="str">
            <v>Entry</v>
          </cell>
          <cell r="BH404" t="str">
            <v>Y</v>
          </cell>
          <cell r="BI404" t="str">
            <v>Y</v>
          </cell>
        </row>
        <row r="405">
          <cell r="J405">
            <v>0</v>
          </cell>
          <cell r="L405">
            <v>0</v>
          </cell>
          <cell r="N405">
            <v>0</v>
          </cell>
          <cell r="P405">
            <v>0</v>
          </cell>
          <cell r="R405">
            <v>0</v>
          </cell>
          <cell r="U405">
            <v>0</v>
          </cell>
          <cell r="X405">
            <v>0</v>
          </cell>
          <cell r="BC405" t="str">
            <v>Entry</v>
          </cell>
          <cell r="BH405" t="str">
            <v>Y</v>
          </cell>
          <cell r="BI405" t="str">
            <v>Y</v>
          </cell>
        </row>
        <row r="406">
          <cell r="J406">
            <v>0</v>
          </cell>
          <cell r="L406">
            <v>0</v>
          </cell>
          <cell r="N406">
            <v>0</v>
          </cell>
          <cell r="P406">
            <v>0</v>
          </cell>
          <cell r="R406">
            <v>0</v>
          </cell>
          <cell r="U406">
            <v>0</v>
          </cell>
          <cell r="X406">
            <v>0</v>
          </cell>
          <cell r="BC406" t="str">
            <v>Exit</v>
          </cell>
          <cell r="BH406" t="str">
            <v>Y</v>
          </cell>
          <cell r="BI406" t="str">
            <v>Y</v>
          </cell>
        </row>
        <row r="407">
          <cell r="H407">
            <v>0</v>
          </cell>
          <cell r="I407">
            <v>0</v>
          </cell>
          <cell r="BC407" t="str">
            <v>Exit</v>
          </cell>
          <cell r="BH407" t="str">
            <v>Y</v>
          </cell>
          <cell r="BI407" t="str">
            <v>Y</v>
          </cell>
        </row>
        <row r="408">
          <cell r="H408">
            <v>0</v>
          </cell>
          <cell r="I408">
            <v>1</v>
          </cell>
          <cell r="BC408" t="str">
            <v>Entry</v>
          </cell>
          <cell r="BH408" t="str">
            <v>Y</v>
          </cell>
          <cell r="BI408" t="str">
            <v>Y</v>
          </cell>
        </row>
        <row r="409">
          <cell r="J409">
            <v>0</v>
          </cell>
          <cell r="L409">
            <v>0</v>
          </cell>
          <cell r="N409">
            <v>0</v>
          </cell>
          <cell r="P409">
            <v>0</v>
          </cell>
          <cell r="R409">
            <v>0</v>
          </cell>
          <cell r="U409">
            <v>0</v>
          </cell>
          <cell r="X409">
            <v>0</v>
          </cell>
          <cell r="BC409" t="str">
            <v>Entry</v>
          </cell>
          <cell r="BH409" t="str">
            <v>Y</v>
          </cell>
          <cell r="BI409" t="str">
            <v>Y</v>
          </cell>
        </row>
        <row r="410">
          <cell r="H410">
            <v>0</v>
          </cell>
          <cell r="I410">
            <v>1</v>
          </cell>
          <cell r="BC410" t="str">
            <v>Neither</v>
          </cell>
          <cell r="BH410" t="str">
            <v>Y</v>
          </cell>
          <cell r="BI410" t="str">
            <v>Y</v>
          </cell>
        </row>
        <row r="411">
          <cell r="J411">
            <v>0</v>
          </cell>
          <cell r="L411">
            <v>0</v>
          </cell>
          <cell r="N411">
            <v>0</v>
          </cell>
          <cell r="P411">
            <v>0</v>
          </cell>
          <cell r="R411">
            <v>0</v>
          </cell>
          <cell r="U411">
            <v>0</v>
          </cell>
          <cell r="X411">
            <v>0</v>
          </cell>
          <cell r="BC411" t="str">
            <v>Neither</v>
          </cell>
          <cell r="BH411" t="str">
            <v>Y</v>
          </cell>
          <cell r="BI411" t="str">
            <v>Y</v>
          </cell>
        </row>
        <row r="412">
          <cell r="J412">
            <v>0</v>
          </cell>
          <cell r="L412">
            <v>0</v>
          </cell>
          <cell r="N412">
            <v>0</v>
          </cell>
          <cell r="P412">
            <v>0</v>
          </cell>
          <cell r="R412">
            <v>0</v>
          </cell>
          <cell r="U412">
            <v>0</v>
          </cell>
          <cell r="X412">
            <v>0</v>
          </cell>
          <cell r="BC412" t="str">
            <v>Entry</v>
          </cell>
          <cell r="BH412" t="str">
            <v>Y</v>
          </cell>
          <cell r="BI412" t="str">
            <v>Y</v>
          </cell>
        </row>
        <row r="413">
          <cell r="H413">
            <v>0</v>
          </cell>
          <cell r="I413">
            <v>0</v>
          </cell>
          <cell r="BC413" t="str">
            <v>Entry</v>
          </cell>
          <cell r="BH413" t="str">
            <v>Y</v>
          </cell>
          <cell r="BI413" t="str">
            <v>Y</v>
          </cell>
        </row>
        <row r="414">
          <cell r="J414">
            <v>0</v>
          </cell>
          <cell r="L414">
            <v>0</v>
          </cell>
          <cell r="N414">
            <v>0</v>
          </cell>
          <cell r="P414">
            <v>0</v>
          </cell>
          <cell r="R414">
            <v>0</v>
          </cell>
          <cell r="U414">
            <v>0</v>
          </cell>
          <cell r="X414">
            <v>0</v>
          </cell>
          <cell r="BC414" t="str">
            <v>Exit</v>
          </cell>
          <cell r="BH414" t="str">
            <v>Y</v>
          </cell>
          <cell r="BI414" t="str">
            <v>Y</v>
          </cell>
        </row>
        <row r="415">
          <cell r="H415">
            <v>0</v>
          </cell>
          <cell r="I415">
            <v>0</v>
          </cell>
          <cell r="BC415" t="str">
            <v>Exit</v>
          </cell>
          <cell r="BH415" t="str">
            <v>Y</v>
          </cell>
          <cell r="BI415" t="str">
            <v>Y</v>
          </cell>
        </row>
        <row r="416">
          <cell r="H416">
            <v>0</v>
          </cell>
          <cell r="I416">
            <v>0</v>
          </cell>
          <cell r="BC416" t="str">
            <v>Neither</v>
          </cell>
          <cell r="BH416" t="str">
            <v>Y</v>
          </cell>
          <cell r="BI416" t="str">
            <v>Y</v>
          </cell>
        </row>
        <row r="417">
          <cell r="J417">
            <v>0</v>
          </cell>
          <cell r="L417">
            <v>0</v>
          </cell>
          <cell r="N417">
            <v>0</v>
          </cell>
          <cell r="P417">
            <v>0</v>
          </cell>
          <cell r="R417">
            <v>0</v>
          </cell>
          <cell r="U417">
            <v>0</v>
          </cell>
          <cell r="X417">
            <v>0</v>
          </cell>
          <cell r="BC417" t="str">
            <v>Neither</v>
          </cell>
          <cell r="BH417" t="str">
            <v>Y</v>
          </cell>
          <cell r="BI417" t="str">
            <v>Y</v>
          </cell>
        </row>
        <row r="418">
          <cell r="H418">
            <v>1</v>
          </cell>
          <cell r="I418">
            <v>1</v>
          </cell>
          <cell r="BC418" t="str">
            <v>Entry</v>
          </cell>
          <cell r="BH418" t="str">
            <v>Y</v>
          </cell>
          <cell r="BI418" t="str">
            <v>Y</v>
          </cell>
        </row>
        <row r="419">
          <cell r="J419">
            <v>1</v>
          </cell>
          <cell r="L419">
            <v>0</v>
          </cell>
          <cell r="N419">
            <v>0</v>
          </cell>
          <cell r="P419">
            <v>0</v>
          </cell>
          <cell r="R419">
            <v>1</v>
          </cell>
          <cell r="U419">
            <v>0</v>
          </cell>
          <cell r="X419">
            <v>0</v>
          </cell>
          <cell r="BC419" t="str">
            <v>Entry</v>
          </cell>
          <cell r="BH419" t="str">
            <v>Y</v>
          </cell>
          <cell r="BI419" t="str">
            <v>Y</v>
          </cell>
        </row>
        <row r="420">
          <cell r="H420">
            <v>1</v>
          </cell>
          <cell r="I420">
            <v>1</v>
          </cell>
          <cell r="BC420" t="str">
            <v>Exit</v>
          </cell>
          <cell r="BH420" t="str">
            <v>Y</v>
          </cell>
          <cell r="BI420" t="str">
            <v>Y</v>
          </cell>
        </row>
        <row r="421">
          <cell r="J421">
            <v>1</v>
          </cell>
          <cell r="L421">
            <v>0</v>
          </cell>
          <cell r="N421">
            <v>0</v>
          </cell>
          <cell r="P421">
            <v>0</v>
          </cell>
          <cell r="R421">
            <v>1</v>
          </cell>
          <cell r="U421">
            <v>0</v>
          </cell>
          <cell r="X421">
            <v>0</v>
          </cell>
          <cell r="BC421" t="str">
            <v>Exit</v>
          </cell>
          <cell r="BH421" t="str">
            <v>Y</v>
          </cell>
          <cell r="BI421" t="str">
            <v>Y</v>
          </cell>
        </row>
        <row r="422">
          <cell r="H422">
            <v>1</v>
          </cell>
          <cell r="I422">
            <v>1</v>
          </cell>
          <cell r="BC422" t="str">
            <v>Entry</v>
          </cell>
          <cell r="BH422" t="str">
            <v>Y</v>
          </cell>
          <cell r="BI422" t="str">
            <v>Y</v>
          </cell>
        </row>
        <row r="423">
          <cell r="J423">
            <v>0</v>
          </cell>
          <cell r="L423">
            <v>0</v>
          </cell>
          <cell r="N423">
            <v>0</v>
          </cell>
          <cell r="P423">
            <v>0</v>
          </cell>
          <cell r="R423">
            <v>0</v>
          </cell>
          <cell r="U423">
            <v>0</v>
          </cell>
          <cell r="X423">
            <v>0</v>
          </cell>
          <cell r="BC423" t="str">
            <v>Entry</v>
          </cell>
          <cell r="BH423" t="str">
            <v>Y</v>
          </cell>
          <cell r="BI423" t="str">
            <v>Y</v>
          </cell>
        </row>
        <row r="424">
          <cell r="H424">
            <v>1</v>
          </cell>
          <cell r="I424">
            <v>1</v>
          </cell>
          <cell r="BC424" t="str">
            <v>Neither</v>
          </cell>
          <cell r="BH424" t="str">
            <v>Y</v>
          </cell>
          <cell r="BI424" t="str">
            <v>Y</v>
          </cell>
        </row>
        <row r="425">
          <cell r="H425">
            <v>1</v>
          </cell>
          <cell r="I425">
            <v>1</v>
          </cell>
          <cell r="BC425" t="str">
            <v>Exit</v>
          </cell>
          <cell r="BH425" t="str">
            <v>Y</v>
          </cell>
          <cell r="BI425" t="str">
            <v>Y</v>
          </cell>
        </row>
        <row r="426">
          <cell r="J426">
            <v>0</v>
          </cell>
          <cell r="L426">
            <v>0</v>
          </cell>
          <cell r="N426">
            <v>0</v>
          </cell>
          <cell r="P426">
            <v>0</v>
          </cell>
          <cell r="R426">
            <v>0</v>
          </cell>
          <cell r="U426">
            <v>2</v>
          </cell>
          <cell r="X426">
            <v>0</v>
          </cell>
          <cell r="BC426" t="str">
            <v>Exit</v>
          </cell>
          <cell r="BH426" t="str">
            <v>Y</v>
          </cell>
          <cell r="BI426" t="str">
            <v>Y</v>
          </cell>
        </row>
        <row r="427">
          <cell r="H427">
            <v>0</v>
          </cell>
          <cell r="I427">
            <v>0</v>
          </cell>
          <cell r="BC427" t="str">
            <v>Entry</v>
          </cell>
          <cell r="BH427" t="str">
            <v>Y</v>
          </cell>
          <cell r="BI427" t="str">
            <v>Y</v>
          </cell>
        </row>
        <row r="428">
          <cell r="J428">
            <v>0</v>
          </cell>
          <cell r="L428">
            <v>0</v>
          </cell>
          <cell r="N428">
            <v>0</v>
          </cell>
          <cell r="P428">
            <v>0</v>
          </cell>
          <cell r="R428">
            <v>0</v>
          </cell>
          <cell r="U428">
            <v>0</v>
          </cell>
          <cell r="X428">
            <v>0</v>
          </cell>
          <cell r="BC428" t="str">
            <v>Entry</v>
          </cell>
          <cell r="BH428" t="str">
            <v>Y</v>
          </cell>
          <cell r="BI428" t="str">
            <v>Y</v>
          </cell>
        </row>
        <row r="429">
          <cell r="J429">
            <v>0</v>
          </cell>
          <cell r="L429">
            <v>0</v>
          </cell>
          <cell r="N429">
            <v>0</v>
          </cell>
          <cell r="P429">
            <v>0</v>
          </cell>
          <cell r="R429">
            <v>1</v>
          </cell>
          <cell r="U429">
            <v>0</v>
          </cell>
          <cell r="X429">
            <v>0</v>
          </cell>
          <cell r="BC429" t="str">
            <v>Exit</v>
          </cell>
          <cell r="BH429" t="str">
            <v>Y</v>
          </cell>
          <cell r="BI429" t="str">
            <v>Y</v>
          </cell>
        </row>
        <row r="430">
          <cell r="H430">
            <v>0</v>
          </cell>
          <cell r="I430">
            <v>0</v>
          </cell>
          <cell r="BC430" t="str">
            <v>Exit</v>
          </cell>
          <cell r="BH430" t="str">
            <v>Y</v>
          </cell>
          <cell r="BI430" t="str">
            <v>Y</v>
          </cell>
        </row>
        <row r="431">
          <cell r="J431">
            <v>0</v>
          </cell>
          <cell r="L431">
            <v>0</v>
          </cell>
          <cell r="N431">
            <v>0</v>
          </cell>
          <cell r="P431">
            <v>0</v>
          </cell>
          <cell r="R431">
            <v>0</v>
          </cell>
          <cell r="U431">
            <v>0</v>
          </cell>
          <cell r="X431">
            <v>0</v>
          </cell>
          <cell r="BC431" t="str">
            <v>Entry</v>
          </cell>
          <cell r="BH431" t="str">
            <v>Y</v>
          </cell>
          <cell r="BI431" t="str">
            <v>Y</v>
          </cell>
        </row>
        <row r="432">
          <cell r="H432">
            <v>0</v>
          </cell>
          <cell r="I432">
            <v>0</v>
          </cell>
          <cell r="BC432" t="str">
            <v>Entry</v>
          </cell>
          <cell r="BH432" t="str">
            <v>Y</v>
          </cell>
          <cell r="BI432" t="str">
            <v>Y</v>
          </cell>
        </row>
        <row r="433">
          <cell r="J433">
            <v>0</v>
          </cell>
          <cell r="L433">
            <v>0</v>
          </cell>
          <cell r="N433">
            <v>0</v>
          </cell>
          <cell r="P433">
            <v>0</v>
          </cell>
          <cell r="R433">
            <v>1</v>
          </cell>
          <cell r="U433">
            <v>0</v>
          </cell>
          <cell r="X433">
            <v>0</v>
          </cell>
          <cell r="BC433" t="str">
            <v>Exit</v>
          </cell>
          <cell r="BH433" t="str">
            <v>Y</v>
          </cell>
          <cell r="BI433" t="str">
            <v>Y</v>
          </cell>
        </row>
        <row r="434">
          <cell r="H434">
            <v>0</v>
          </cell>
          <cell r="I434">
            <v>0</v>
          </cell>
          <cell r="BC434" t="str">
            <v>Exit</v>
          </cell>
          <cell r="BH434" t="str">
            <v>Y</v>
          </cell>
          <cell r="BI434" t="str">
            <v>Y</v>
          </cell>
        </row>
        <row r="435">
          <cell r="J435">
            <v>0</v>
          </cell>
          <cell r="L435">
            <v>0</v>
          </cell>
          <cell r="N435">
            <v>0</v>
          </cell>
          <cell r="P435">
            <v>0</v>
          </cell>
          <cell r="R435">
            <v>0</v>
          </cell>
          <cell r="U435">
            <v>0</v>
          </cell>
          <cell r="X435">
            <v>0</v>
          </cell>
          <cell r="BC435" t="str">
            <v>Entry</v>
          </cell>
          <cell r="BH435" t="str">
            <v>Y</v>
          </cell>
          <cell r="BI435" t="str">
            <v>Y</v>
          </cell>
        </row>
        <row r="436">
          <cell r="H436">
            <v>1</v>
          </cell>
          <cell r="I436">
            <v>1</v>
          </cell>
          <cell r="BC436" t="str">
            <v>Entry</v>
          </cell>
          <cell r="BH436" t="str">
            <v>Y</v>
          </cell>
          <cell r="BI436" t="str">
            <v>Y</v>
          </cell>
        </row>
        <row r="437">
          <cell r="H437">
            <v>1</v>
          </cell>
          <cell r="I437">
            <v>1</v>
          </cell>
          <cell r="BC437" t="str">
            <v>Neither</v>
          </cell>
          <cell r="BH437" t="str">
            <v>Y</v>
          </cell>
          <cell r="BI437" t="str">
            <v>Y</v>
          </cell>
        </row>
        <row r="438">
          <cell r="H438">
            <v>0</v>
          </cell>
          <cell r="I438">
            <v>0</v>
          </cell>
          <cell r="BC438" t="str">
            <v>Entry</v>
          </cell>
          <cell r="BH438" t="str">
            <v>Y</v>
          </cell>
          <cell r="BI438" t="str">
            <v>Y</v>
          </cell>
        </row>
        <row r="439">
          <cell r="J439">
            <v>0</v>
          </cell>
          <cell r="L439">
            <v>0</v>
          </cell>
          <cell r="N439">
            <v>0</v>
          </cell>
          <cell r="P439">
            <v>0</v>
          </cell>
          <cell r="R439">
            <v>0</v>
          </cell>
          <cell r="U439">
            <v>0</v>
          </cell>
          <cell r="X439">
            <v>0</v>
          </cell>
          <cell r="BC439" t="str">
            <v>Entry</v>
          </cell>
          <cell r="BH439" t="str">
            <v>Y</v>
          </cell>
          <cell r="BI439" t="str">
            <v>Y</v>
          </cell>
        </row>
        <row r="440">
          <cell r="J440">
            <v>0</v>
          </cell>
          <cell r="L440">
            <v>0</v>
          </cell>
          <cell r="N440">
            <v>0</v>
          </cell>
          <cell r="P440">
            <v>0</v>
          </cell>
          <cell r="R440">
            <v>0</v>
          </cell>
          <cell r="U440">
            <v>0</v>
          </cell>
          <cell r="X440">
            <v>1</v>
          </cell>
          <cell r="Y440">
            <v>8</v>
          </cell>
          <cell r="BC440" t="str">
            <v>Entry</v>
          </cell>
          <cell r="BH440" t="str">
            <v>Y</v>
          </cell>
          <cell r="BI440" t="str">
            <v>Y</v>
          </cell>
        </row>
        <row r="441">
          <cell r="J441">
            <v>0</v>
          </cell>
          <cell r="L441">
            <v>0</v>
          </cell>
          <cell r="N441">
            <v>0</v>
          </cell>
          <cell r="P441">
            <v>0</v>
          </cell>
          <cell r="R441">
            <v>0</v>
          </cell>
          <cell r="U441">
            <v>0</v>
          </cell>
          <cell r="X441">
            <v>0</v>
          </cell>
          <cell r="BC441" t="str">
            <v>Entry</v>
          </cell>
          <cell r="BH441" t="str">
            <v>Y</v>
          </cell>
          <cell r="BI441" t="str">
            <v>Y</v>
          </cell>
        </row>
        <row r="442">
          <cell r="H442">
            <v>0</v>
          </cell>
          <cell r="I442">
            <v>0</v>
          </cell>
          <cell r="BC442" t="str">
            <v>Entry</v>
          </cell>
          <cell r="BH442" t="str">
            <v>Y</v>
          </cell>
          <cell r="BI442" t="str">
            <v>Y</v>
          </cell>
        </row>
        <row r="443">
          <cell r="H443">
            <v>0</v>
          </cell>
          <cell r="I443">
            <v>0</v>
          </cell>
          <cell r="BC443" t="str">
            <v>Entry</v>
          </cell>
          <cell r="BH443" t="str">
            <v>Y</v>
          </cell>
          <cell r="BI443" t="str">
            <v>Y</v>
          </cell>
        </row>
        <row r="444">
          <cell r="J444">
            <v>0</v>
          </cell>
          <cell r="L444">
            <v>0</v>
          </cell>
          <cell r="N444">
            <v>0</v>
          </cell>
          <cell r="P444">
            <v>0</v>
          </cell>
          <cell r="R444">
            <v>0</v>
          </cell>
          <cell r="U444">
            <v>0</v>
          </cell>
          <cell r="X444">
            <v>0</v>
          </cell>
          <cell r="BC444" t="str">
            <v>Entry</v>
          </cell>
          <cell r="BH444" t="str">
            <v>Y</v>
          </cell>
          <cell r="BI444" t="str">
            <v>Y</v>
          </cell>
        </row>
        <row r="445">
          <cell r="J445">
            <v>0</v>
          </cell>
          <cell r="L445">
            <v>0</v>
          </cell>
          <cell r="N445">
            <v>0</v>
          </cell>
          <cell r="P445">
            <v>0</v>
          </cell>
          <cell r="R445">
            <v>0</v>
          </cell>
          <cell r="U445">
            <v>0</v>
          </cell>
          <cell r="X445">
            <v>0</v>
          </cell>
          <cell r="BC445" t="str">
            <v>Entry</v>
          </cell>
          <cell r="BH445" t="str">
            <v>Y</v>
          </cell>
          <cell r="BI445" t="str">
            <v>Y</v>
          </cell>
        </row>
        <row r="446">
          <cell r="H446">
            <v>0</v>
          </cell>
          <cell r="I446">
            <v>0</v>
          </cell>
          <cell r="BC446" t="str">
            <v>Entry</v>
          </cell>
          <cell r="BH446" t="str">
            <v>Y</v>
          </cell>
          <cell r="BI446" t="str">
            <v>Y</v>
          </cell>
        </row>
        <row r="447">
          <cell r="H447">
            <v>0</v>
          </cell>
          <cell r="I447">
            <v>0</v>
          </cell>
          <cell r="BC447" t="str">
            <v>Entry</v>
          </cell>
          <cell r="BH447" t="str">
            <v>Y</v>
          </cell>
          <cell r="BI447" t="str">
            <v>Y</v>
          </cell>
        </row>
        <row r="448">
          <cell r="J448">
            <v>0</v>
          </cell>
          <cell r="L448">
            <v>0</v>
          </cell>
          <cell r="N448">
            <v>0</v>
          </cell>
          <cell r="P448">
            <v>0</v>
          </cell>
          <cell r="R448">
            <v>0</v>
          </cell>
          <cell r="U448">
            <v>0</v>
          </cell>
          <cell r="X448">
            <v>0</v>
          </cell>
          <cell r="BC448" t="str">
            <v>Entry</v>
          </cell>
          <cell r="BH448" t="str">
            <v>Y</v>
          </cell>
          <cell r="BI448" t="str">
            <v>Y</v>
          </cell>
        </row>
        <row r="449">
          <cell r="J449">
            <v>0</v>
          </cell>
          <cell r="L449">
            <v>0</v>
          </cell>
          <cell r="N449">
            <v>0</v>
          </cell>
          <cell r="P449">
            <v>0</v>
          </cell>
          <cell r="R449">
            <v>0</v>
          </cell>
          <cell r="U449">
            <v>0</v>
          </cell>
          <cell r="X449">
            <v>0</v>
          </cell>
          <cell r="BC449" t="str">
            <v>Entry</v>
          </cell>
          <cell r="BH449" t="str">
            <v>Y</v>
          </cell>
          <cell r="BI449" t="str">
            <v>Y</v>
          </cell>
        </row>
        <row r="450">
          <cell r="H450">
            <v>0</v>
          </cell>
          <cell r="I450">
            <v>0</v>
          </cell>
          <cell r="BC450" t="str">
            <v>Entry</v>
          </cell>
          <cell r="BH450" t="str">
            <v>Y</v>
          </cell>
          <cell r="BI450" t="str">
            <v>Y</v>
          </cell>
        </row>
        <row r="451">
          <cell r="H451">
            <v>0</v>
          </cell>
          <cell r="I451">
            <v>0</v>
          </cell>
          <cell r="BC451" t="str">
            <v>Exit</v>
          </cell>
          <cell r="BH451" t="str">
            <v>Y</v>
          </cell>
          <cell r="BI451" t="str">
            <v>Y</v>
          </cell>
        </row>
        <row r="452">
          <cell r="J452">
            <v>0</v>
          </cell>
          <cell r="L452">
            <v>0</v>
          </cell>
          <cell r="N452">
            <v>0</v>
          </cell>
          <cell r="P452">
            <v>0</v>
          </cell>
          <cell r="R452">
            <v>0</v>
          </cell>
          <cell r="U452">
            <v>0</v>
          </cell>
          <cell r="X452">
            <v>0</v>
          </cell>
          <cell r="BC452" t="str">
            <v>Exit</v>
          </cell>
          <cell r="BH452" t="str">
            <v>Y</v>
          </cell>
          <cell r="BI452" t="str">
            <v>Y</v>
          </cell>
        </row>
        <row r="453">
          <cell r="H453">
            <v>1</v>
          </cell>
          <cell r="I453">
            <v>1</v>
          </cell>
          <cell r="BC453" t="str">
            <v>Entry</v>
          </cell>
          <cell r="BH453" t="str">
            <v>Y</v>
          </cell>
          <cell r="BI453" t="str">
            <v>Y</v>
          </cell>
        </row>
        <row r="454">
          <cell r="J454">
            <v>0</v>
          </cell>
          <cell r="L454">
            <v>0</v>
          </cell>
          <cell r="N454">
            <v>0</v>
          </cell>
          <cell r="P454">
            <v>0</v>
          </cell>
          <cell r="R454">
            <v>1</v>
          </cell>
          <cell r="U454">
            <v>0</v>
          </cell>
          <cell r="X454">
            <v>0</v>
          </cell>
          <cell r="BC454" t="str">
            <v>Entry</v>
          </cell>
          <cell r="BH454" t="str">
            <v>Y</v>
          </cell>
          <cell r="BI454" t="str">
            <v>Y</v>
          </cell>
        </row>
        <row r="455">
          <cell r="J455">
            <v>0</v>
          </cell>
          <cell r="L455">
            <v>0</v>
          </cell>
          <cell r="N455">
            <v>0</v>
          </cell>
          <cell r="P455">
            <v>0</v>
          </cell>
          <cell r="R455">
            <v>1</v>
          </cell>
          <cell r="U455">
            <v>0</v>
          </cell>
          <cell r="X455">
            <v>0</v>
          </cell>
          <cell r="BC455" t="str">
            <v>Entry</v>
          </cell>
          <cell r="BH455" t="str">
            <v>Y</v>
          </cell>
          <cell r="BI455" t="str">
            <v>Y</v>
          </cell>
        </row>
        <row r="456">
          <cell r="H456">
            <v>0</v>
          </cell>
          <cell r="I456">
            <v>0</v>
          </cell>
          <cell r="BC456" t="str">
            <v>Entry</v>
          </cell>
          <cell r="BH456" t="str">
            <v>Y</v>
          </cell>
          <cell r="BI456" t="str">
            <v>Y</v>
          </cell>
        </row>
        <row r="457">
          <cell r="H457">
            <v>0</v>
          </cell>
          <cell r="I457">
            <v>0</v>
          </cell>
          <cell r="BC457" t="str">
            <v>Entry</v>
          </cell>
          <cell r="BH457" t="str">
            <v>Y</v>
          </cell>
          <cell r="BI457" t="str">
            <v>Y</v>
          </cell>
        </row>
        <row r="458">
          <cell r="J458">
            <v>0</v>
          </cell>
          <cell r="L458">
            <v>0</v>
          </cell>
          <cell r="N458">
            <v>0</v>
          </cell>
          <cell r="P458">
            <v>0</v>
          </cell>
          <cell r="R458">
            <v>0</v>
          </cell>
          <cell r="U458">
            <v>0</v>
          </cell>
          <cell r="X458">
            <v>0</v>
          </cell>
          <cell r="BC458" t="str">
            <v>Entry</v>
          </cell>
          <cell r="BH458" t="str">
            <v>Y</v>
          </cell>
          <cell r="BI458" t="str">
            <v>Y</v>
          </cell>
        </row>
        <row r="459">
          <cell r="J459">
            <v>0</v>
          </cell>
          <cell r="L459">
            <v>0</v>
          </cell>
          <cell r="N459">
            <v>0</v>
          </cell>
          <cell r="P459">
            <v>0</v>
          </cell>
          <cell r="R459">
            <v>0</v>
          </cell>
          <cell r="U459">
            <v>2</v>
          </cell>
          <cell r="X459">
            <v>1</v>
          </cell>
          <cell r="Y459">
            <v>1</v>
          </cell>
          <cell r="BC459" t="str">
            <v>Entry</v>
          </cell>
          <cell r="BH459" t="str">
            <v>Y</v>
          </cell>
          <cell r="BI459" t="str">
            <v>Y</v>
          </cell>
        </row>
        <row r="460">
          <cell r="H460">
            <v>0</v>
          </cell>
          <cell r="I460">
            <v>1</v>
          </cell>
          <cell r="BC460" t="str">
            <v>Entry</v>
          </cell>
          <cell r="BH460" t="str">
            <v>Y</v>
          </cell>
          <cell r="BI460" t="str">
            <v>Y</v>
          </cell>
        </row>
        <row r="461">
          <cell r="H461">
            <v>1</v>
          </cell>
          <cell r="I461">
            <v>1</v>
          </cell>
          <cell r="BC461" t="str">
            <v>Exit</v>
          </cell>
          <cell r="BH461" t="str">
            <v>Y</v>
          </cell>
          <cell r="BI461" t="str">
            <v>Y</v>
          </cell>
        </row>
        <row r="462">
          <cell r="J462">
            <v>0</v>
          </cell>
          <cell r="L462">
            <v>0</v>
          </cell>
          <cell r="N462">
            <v>0</v>
          </cell>
          <cell r="P462">
            <v>0</v>
          </cell>
          <cell r="R462">
            <v>0</v>
          </cell>
          <cell r="U462">
            <v>2</v>
          </cell>
          <cell r="X462">
            <v>1</v>
          </cell>
          <cell r="Y462">
            <v>1</v>
          </cell>
          <cell r="BC462" t="str">
            <v>Exit</v>
          </cell>
          <cell r="BH462" t="str">
            <v>Y</v>
          </cell>
          <cell r="BI462" t="str">
            <v>Y</v>
          </cell>
        </row>
        <row r="463">
          <cell r="H463">
            <v>1</v>
          </cell>
          <cell r="I463">
            <v>1</v>
          </cell>
          <cell r="BC463" t="str">
            <v>Entry</v>
          </cell>
          <cell r="BH463" t="str">
            <v>Y</v>
          </cell>
          <cell r="BI463" t="str">
            <v>Y</v>
          </cell>
        </row>
        <row r="464">
          <cell r="H464">
            <v>1</v>
          </cell>
          <cell r="I464">
            <v>1</v>
          </cell>
          <cell r="BC464" t="str">
            <v>Entry</v>
          </cell>
          <cell r="BH464" t="str">
            <v>Y</v>
          </cell>
          <cell r="BI464" t="str">
            <v>Y</v>
          </cell>
        </row>
        <row r="465">
          <cell r="J465">
            <v>0</v>
          </cell>
          <cell r="L465">
            <v>1</v>
          </cell>
          <cell r="N465">
            <v>0</v>
          </cell>
          <cell r="P465">
            <v>0</v>
          </cell>
          <cell r="R465">
            <v>0</v>
          </cell>
          <cell r="U465">
            <v>0</v>
          </cell>
          <cell r="X465">
            <v>0</v>
          </cell>
          <cell r="BC465" t="str">
            <v>Entry</v>
          </cell>
          <cell r="BH465" t="str">
            <v>Y</v>
          </cell>
          <cell r="BI465" t="str">
            <v>Y</v>
          </cell>
        </row>
        <row r="466">
          <cell r="J466">
            <v>0</v>
          </cell>
          <cell r="L466">
            <v>0</v>
          </cell>
          <cell r="N466">
            <v>0</v>
          </cell>
          <cell r="P466">
            <v>0</v>
          </cell>
          <cell r="R466">
            <v>0</v>
          </cell>
          <cell r="U466">
            <v>0</v>
          </cell>
          <cell r="X466">
            <v>0</v>
          </cell>
          <cell r="BC466" t="str">
            <v>Entry</v>
          </cell>
          <cell r="BH466" t="str">
            <v>Y</v>
          </cell>
          <cell r="BI466" t="str">
            <v>Y</v>
          </cell>
        </row>
        <row r="467">
          <cell r="H467">
            <v>0</v>
          </cell>
          <cell r="I467">
            <v>0</v>
          </cell>
          <cell r="BC467" t="str">
            <v>Entry</v>
          </cell>
          <cell r="BH467" t="str">
            <v>Y</v>
          </cell>
          <cell r="BI467" t="str">
            <v>Y</v>
          </cell>
        </row>
        <row r="468">
          <cell r="H468">
            <v>0</v>
          </cell>
          <cell r="I468">
            <v>0</v>
          </cell>
          <cell r="BC468" t="str">
            <v>Entry</v>
          </cell>
          <cell r="BH468" t="str">
            <v>Y</v>
          </cell>
          <cell r="BI468" t="str">
            <v>Y</v>
          </cell>
        </row>
        <row r="469">
          <cell r="J469">
            <v>0</v>
          </cell>
          <cell r="L469">
            <v>0</v>
          </cell>
          <cell r="N469">
            <v>0</v>
          </cell>
          <cell r="P469">
            <v>0</v>
          </cell>
          <cell r="R469">
            <v>0</v>
          </cell>
          <cell r="U469">
            <v>0</v>
          </cell>
          <cell r="X469">
            <v>0</v>
          </cell>
          <cell r="BC469" t="str">
            <v>Entry</v>
          </cell>
          <cell r="BH469" t="str">
            <v>Y</v>
          </cell>
          <cell r="BI469" t="str">
            <v>Y</v>
          </cell>
        </row>
        <row r="470">
          <cell r="H470">
            <v>1</v>
          </cell>
          <cell r="I470">
            <v>0</v>
          </cell>
          <cell r="BC470" t="str">
            <v>Entry</v>
          </cell>
          <cell r="BH470" t="str">
            <v>Y</v>
          </cell>
          <cell r="BI470" t="str">
            <v>Y</v>
          </cell>
        </row>
        <row r="471">
          <cell r="J471">
            <v>0</v>
          </cell>
          <cell r="L471">
            <v>0</v>
          </cell>
          <cell r="N471">
            <v>0</v>
          </cell>
          <cell r="P471">
            <v>0</v>
          </cell>
          <cell r="R471">
            <v>0</v>
          </cell>
          <cell r="U471">
            <v>0</v>
          </cell>
          <cell r="X471">
            <v>1</v>
          </cell>
          <cell r="Y471">
            <v>1</v>
          </cell>
          <cell r="BC471" t="str">
            <v>Entry</v>
          </cell>
          <cell r="BH471" t="str">
            <v>Y</v>
          </cell>
          <cell r="BI471" t="str">
            <v>Y</v>
          </cell>
        </row>
        <row r="472">
          <cell r="J472">
            <v>0</v>
          </cell>
          <cell r="L472">
            <v>0</v>
          </cell>
          <cell r="N472">
            <v>0</v>
          </cell>
          <cell r="P472">
            <v>0</v>
          </cell>
          <cell r="R472">
            <v>0</v>
          </cell>
          <cell r="U472">
            <v>0</v>
          </cell>
          <cell r="X472">
            <v>0</v>
          </cell>
          <cell r="BC472" t="str">
            <v>Entry</v>
          </cell>
          <cell r="BH472" t="str">
            <v>Y</v>
          </cell>
          <cell r="BI472" t="str">
            <v>Y</v>
          </cell>
        </row>
        <row r="473">
          <cell r="H473">
            <v>1</v>
          </cell>
          <cell r="I473">
            <v>1</v>
          </cell>
          <cell r="BC473" t="str">
            <v>Entry</v>
          </cell>
          <cell r="BH473" t="str">
            <v>Y</v>
          </cell>
          <cell r="BI473" t="str">
            <v>Y</v>
          </cell>
        </row>
        <row r="474">
          <cell r="H474">
            <v>1</v>
          </cell>
          <cell r="I474">
            <v>1</v>
          </cell>
          <cell r="BC474" t="str">
            <v>Neither</v>
          </cell>
          <cell r="BH474" t="str">
            <v>Y</v>
          </cell>
          <cell r="BI474" t="str">
            <v>Y</v>
          </cell>
        </row>
        <row r="475">
          <cell r="H475">
            <v>0</v>
          </cell>
          <cell r="I475">
            <v>0</v>
          </cell>
          <cell r="BC475" t="str">
            <v>Entry</v>
          </cell>
          <cell r="BH475" t="str">
            <v>Y</v>
          </cell>
          <cell r="BI475" t="str">
            <v>Y</v>
          </cell>
        </row>
        <row r="476">
          <cell r="J476">
            <v>0</v>
          </cell>
          <cell r="L476">
            <v>0</v>
          </cell>
          <cell r="N476">
            <v>0</v>
          </cell>
          <cell r="P476">
            <v>0</v>
          </cell>
          <cell r="R476">
            <v>0</v>
          </cell>
          <cell r="U476">
            <v>0</v>
          </cell>
          <cell r="X476">
            <v>0</v>
          </cell>
          <cell r="BC476" t="str">
            <v>Entry</v>
          </cell>
          <cell r="BH476" t="str">
            <v>Y</v>
          </cell>
          <cell r="BI476" t="str">
            <v>Y</v>
          </cell>
        </row>
        <row r="477">
          <cell r="H477">
            <v>1</v>
          </cell>
          <cell r="I477">
            <v>1</v>
          </cell>
          <cell r="BC477" t="str">
            <v>Exit</v>
          </cell>
          <cell r="BH477" t="str">
            <v>Y</v>
          </cell>
          <cell r="BI477" t="str">
            <v>Y</v>
          </cell>
        </row>
        <row r="478">
          <cell r="J478">
            <v>0</v>
          </cell>
          <cell r="L478">
            <v>0</v>
          </cell>
          <cell r="N478">
            <v>0</v>
          </cell>
          <cell r="P478">
            <v>0</v>
          </cell>
          <cell r="R478">
            <v>0</v>
          </cell>
          <cell r="U478">
            <v>0</v>
          </cell>
          <cell r="X478">
            <v>0</v>
          </cell>
          <cell r="BC478" t="str">
            <v>Exit</v>
          </cell>
          <cell r="BH478" t="str">
            <v>Y</v>
          </cell>
          <cell r="BI478" t="str">
            <v>Y</v>
          </cell>
        </row>
        <row r="479">
          <cell r="J479">
            <v>0</v>
          </cell>
          <cell r="L479">
            <v>0</v>
          </cell>
          <cell r="N479">
            <v>0</v>
          </cell>
          <cell r="P479">
            <v>0</v>
          </cell>
          <cell r="R479">
            <v>0</v>
          </cell>
          <cell r="U479">
            <v>0</v>
          </cell>
          <cell r="X479">
            <v>0</v>
          </cell>
          <cell r="BC479" t="str">
            <v>Entry</v>
          </cell>
          <cell r="BH479" t="str">
            <v>Y</v>
          </cell>
          <cell r="BI479" t="str">
            <v>Y</v>
          </cell>
        </row>
        <row r="480">
          <cell r="H480">
            <v>0</v>
          </cell>
          <cell r="I480">
            <v>0</v>
          </cell>
          <cell r="BC480" t="str">
            <v>Entry</v>
          </cell>
          <cell r="BH480" t="str">
            <v>Y</v>
          </cell>
          <cell r="BI480" t="str">
            <v>Y</v>
          </cell>
        </row>
        <row r="481">
          <cell r="H481">
            <v>0</v>
          </cell>
          <cell r="I481">
            <v>0</v>
          </cell>
          <cell r="BC481" t="str">
            <v>Entry</v>
          </cell>
          <cell r="BH481" t="str">
            <v>Y</v>
          </cell>
          <cell r="BI481" t="str">
            <v>Y</v>
          </cell>
        </row>
        <row r="482">
          <cell r="J482">
            <v>0</v>
          </cell>
          <cell r="L482">
            <v>0</v>
          </cell>
          <cell r="N482">
            <v>0</v>
          </cell>
          <cell r="P482">
            <v>0</v>
          </cell>
          <cell r="R482">
            <v>0</v>
          </cell>
          <cell r="U482">
            <v>0</v>
          </cell>
          <cell r="X482">
            <v>0</v>
          </cell>
          <cell r="BC482" t="str">
            <v>Entry</v>
          </cell>
          <cell r="BH482" t="str">
            <v>Y</v>
          </cell>
          <cell r="BI482" t="str">
            <v>Y</v>
          </cell>
        </row>
        <row r="483">
          <cell r="J483">
            <v>0</v>
          </cell>
          <cell r="L483">
            <v>0</v>
          </cell>
          <cell r="N483">
            <v>0</v>
          </cell>
          <cell r="P483">
            <v>0</v>
          </cell>
          <cell r="R483">
            <v>0</v>
          </cell>
          <cell r="U483">
            <v>0</v>
          </cell>
          <cell r="X483">
            <v>0</v>
          </cell>
          <cell r="BC483" t="str">
            <v>Entry</v>
          </cell>
          <cell r="BH483" t="str">
            <v>Y</v>
          </cell>
          <cell r="BI483" t="str">
            <v>Y</v>
          </cell>
        </row>
        <row r="484">
          <cell r="H484">
            <v>0</v>
          </cell>
          <cell r="I484">
            <v>0</v>
          </cell>
          <cell r="BC484" t="str">
            <v>Entry</v>
          </cell>
          <cell r="BH484" t="str">
            <v>Y</v>
          </cell>
          <cell r="BI484" t="str">
            <v>Y</v>
          </cell>
        </row>
        <row r="485">
          <cell r="J485">
            <v>1</v>
          </cell>
          <cell r="L485">
            <v>0</v>
          </cell>
          <cell r="N485">
            <v>1</v>
          </cell>
          <cell r="P485">
            <v>0</v>
          </cell>
          <cell r="R485">
            <v>0</v>
          </cell>
          <cell r="U485">
            <v>0</v>
          </cell>
          <cell r="X485">
            <v>0</v>
          </cell>
          <cell r="BC485" t="str">
            <v>Entry</v>
          </cell>
          <cell r="BH485" t="str">
            <v>Y</v>
          </cell>
          <cell r="BI485" t="str">
            <v>Y</v>
          </cell>
        </row>
        <row r="486">
          <cell r="H486">
            <v>1</v>
          </cell>
          <cell r="I486">
            <v>1</v>
          </cell>
          <cell r="BC486" t="str">
            <v>Entry</v>
          </cell>
          <cell r="BH486" t="str">
            <v>Y</v>
          </cell>
          <cell r="BI486" t="str">
            <v>Y</v>
          </cell>
        </row>
        <row r="487">
          <cell r="H487">
            <v>0</v>
          </cell>
          <cell r="I487">
            <v>0</v>
          </cell>
          <cell r="BC487" t="str">
            <v>Entry</v>
          </cell>
          <cell r="BH487" t="str">
            <v>Y</v>
          </cell>
          <cell r="BI487" t="str">
            <v>Y</v>
          </cell>
        </row>
        <row r="488">
          <cell r="J488">
            <v>0</v>
          </cell>
          <cell r="L488">
            <v>1</v>
          </cell>
          <cell r="N488">
            <v>1</v>
          </cell>
          <cell r="P488">
            <v>0</v>
          </cell>
          <cell r="R488">
            <v>0</v>
          </cell>
          <cell r="U488">
            <v>0</v>
          </cell>
          <cell r="X488">
            <v>0</v>
          </cell>
          <cell r="BC488" t="str">
            <v>Entry</v>
          </cell>
          <cell r="BH488" t="str">
            <v>Y</v>
          </cell>
          <cell r="BI488" t="str">
            <v>Y</v>
          </cell>
        </row>
        <row r="489">
          <cell r="J489">
            <v>0</v>
          </cell>
          <cell r="L489">
            <v>0</v>
          </cell>
          <cell r="N489">
            <v>0</v>
          </cell>
          <cell r="P489">
            <v>0</v>
          </cell>
          <cell r="R489">
            <v>0</v>
          </cell>
          <cell r="U489">
            <v>0</v>
          </cell>
          <cell r="X489">
            <v>0</v>
          </cell>
          <cell r="BC489" t="str">
            <v>Entry</v>
          </cell>
          <cell r="BH489" t="str">
            <v>Y</v>
          </cell>
          <cell r="BI489" t="str">
            <v>Y</v>
          </cell>
        </row>
        <row r="490">
          <cell r="H490">
            <v>0</v>
          </cell>
          <cell r="I490">
            <v>0</v>
          </cell>
          <cell r="BC490" t="str">
            <v>Entry</v>
          </cell>
          <cell r="BH490" t="str">
            <v>Y</v>
          </cell>
          <cell r="BI490" t="str">
            <v>Y</v>
          </cell>
        </row>
        <row r="491">
          <cell r="H491">
            <v>0</v>
          </cell>
          <cell r="I491">
            <v>0</v>
          </cell>
          <cell r="BC491" t="str">
            <v>Entry</v>
          </cell>
          <cell r="BH491" t="str">
            <v>Y</v>
          </cell>
          <cell r="BI491" t="str">
            <v>Y</v>
          </cell>
        </row>
        <row r="492">
          <cell r="J492">
            <v>0</v>
          </cell>
          <cell r="L492">
            <v>0</v>
          </cell>
          <cell r="N492">
            <v>0</v>
          </cell>
          <cell r="P492">
            <v>0</v>
          </cell>
          <cell r="R492">
            <v>0</v>
          </cell>
          <cell r="U492">
            <v>0</v>
          </cell>
          <cell r="X492">
            <v>0</v>
          </cell>
          <cell r="BC492" t="str">
            <v>Entry</v>
          </cell>
          <cell r="BH492" t="str">
            <v>Y</v>
          </cell>
          <cell r="BI492" t="str">
            <v>Y</v>
          </cell>
        </row>
        <row r="493">
          <cell r="J493">
            <v>0</v>
          </cell>
          <cell r="L493">
            <v>0</v>
          </cell>
          <cell r="N493">
            <v>0</v>
          </cell>
          <cell r="P493">
            <v>0</v>
          </cell>
          <cell r="R493">
            <v>0</v>
          </cell>
          <cell r="U493">
            <v>0</v>
          </cell>
          <cell r="X493">
            <v>0</v>
          </cell>
          <cell r="BC493" t="str">
            <v>Exit</v>
          </cell>
          <cell r="BH493" t="str">
            <v>Y</v>
          </cell>
          <cell r="BI493" t="str">
            <v>Y</v>
          </cell>
        </row>
        <row r="494">
          <cell r="H494">
            <v>0</v>
          </cell>
          <cell r="I494">
            <v>0</v>
          </cell>
          <cell r="BC494" t="str">
            <v>Exit</v>
          </cell>
          <cell r="BH494" t="str">
            <v>Y</v>
          </cell>
          <cell r="BI494" t="str">
            <v>Y</v>
          </cell>
        </row>
        <row r="495">
          <cell r="J495">
            <v>0</v>
          </cell>
          <cell r="L495">
            <v>0</v>
          </cell>
          <cell r="N495">
            <v>0</v>
          </cell>
          <cell r="P495">
            <v>0</v>
          </cell>
          <cell r="R495">
            <v>0</v>
          </cell>
          <cell r="U495">
            <v>0</v>
          </cell>
          <cell r="X495">
            <v>0</v>
          </cell>
          <cell r="BC495" t="str">
            <v>Entry</v>
          </cell>
          <cell r="BH495" t="str">
            <v>Y</v>
          </cell>
          <cell r="BI495" t="str">
            <v>Y</v>
          </cell>
        </row>
        <row r="496">
          <cell r="H496">
            <v>0</v>
          </cell>
          <cell r="I496">
            <v>0</v>
          </cell>
          <cell r="BC496" t="str">
            <v>Entry</v>
          </cell>
          <cell r="BH496" t="str">
            <v>Y</v>
          </cell>
          <cell r="BI496" t="str">
            <v>Y</v>
          </cell>
        </row>
        <row r="497">
          <cell r="J497">
            <v>1</v>
          </cell>
          <cell r="L497">
            <v>0</v>
          </cell>
          <cell r="N497">
            <v>0</v>
          </cell>
          <cell r="P497">
            <v>0</v>
          </cell>
          <cell r="R497">
            <v>1</v>
          </cell>
          <cell r="U497">
            <v>3</v>
          </cell>
          <cell r="X497">
            <v>0</v>
          </cell>
          <cell r="BC497" t="str">
            <v>Entry</v>
          </cell>
          <cell r="BH497" t="str">
            <v>Y</v>
          </cell>
          <cell r="BI497" t="str">
            <v>Y</v>
          </cell>
        </row>
        <row r="498">
          <cell r="H498">
            <v>0</v>
          </cell>
          <cell r="I498">
            <v>1</v>
          </cell>
          <cell r="BC498" t="str">
            <v>Entry</v>
          </cell>
          <cell r="BH498" t="str">
            <v>Y</v>
          </cell>
          <cell r="BI498" t="str">
            <v>Y</v>
          </cell>
        </row>
        <row r="499">
          <cell r="J499">
            <v>0</v>
          </cell>
          <cell r="L499">
            <v>0</v>
          </cell>
          <cell r="N499">
            <v>0</v>
          </cell>
          <cell r="P499">
            <v>0</v>
          </cell>
          <cell r="R499">
            <v>0</v>
          </cell>
          <cell r="U499">
            <v>0</v>
          </cell>
          <cell r="X499">
            <v>0</v>
          </cell>
          <cell r="BC499" t="str">
            <v>Entry</v>
          </cell>
          <cell r="BH499" t="str">
            <v>Y</v>
          </cell>
          <cell r="BI499" t="str">
            <v>Y</v>
          </cell>
        </row>
        <row r="500">
          <cell r="H500">
            <v>0</v>
          </cell>
          <cell r="I500">
            <v>1</v>
          </cell>
          <cell r="BC500" t="str">
            <v>Entry</v>
          </cell>
          <cell r="BH500" t="str">
            <v>Y</v>
          </cell>
          <cell r="BI500" t="str">
            <v>Y</v>
          </cell>
        </row>
        <row r="501">
          <cell r="H501">
            <v>0</v>
          </cell>
          <cell r="I501">
            <v>1</v>
          </cell>
          <cell r="BC501" t="str">
            <v>Exit</v>
          </cell>
          <cell r="BH501" t="str">
            <v>Y</v>
          </cell>
          <cell r="BI501" t="str">
            <v>Y</v>
          </cell>
        </row>
        <row r="502">
          <cell r="J502">
            <v>0</v>
          </cell>
          <cell r="L502">
            <v>0</v>
          </cell>
          <cell r="N502">
            <v>0</v>
          </cell>
          <cell r="P502">
            <v>0</v>
          </cell>
          <cell r="R502">
            <v>1</v>
          </cell>
          <cell r="U502">
            <v>0</v>
          </cell>
          <cell r="X502">
            <v>0</v>
          </cell>
          <cell r="BC502" t="str">
            <v>Exit</v>
          </cell>
          <cell r="BH502" t="str">
            <v>Y</v>
          </cell>
          <cell r="BI502" t="str">
            <v>Y</v>
          </cell>
        </row>
        <row r="503">
          <cell r="H503">
            <v>0</v>
          </cell>
          <cell r="I503">
            <v>0</v>
          </cell>
          <cell r="BC503" t="str">
            <v>Entry</v>
          </cell>
          <cell r="BH503" t="str">
            <v>Y</v>
          </cell>
          <cell r="BI503" t="str">
            <v>Y</v>
          </cell>
        </row>
        <row r="504">
          <cell r="J504">
            <v>0</v>
          </cell>
          <cell r="L504">
            <v>0</v>
          </cell>
          <cell r="N504">
            <v>0</v>
          </cell>
          <cell r="P504">
            <v>0</v>
          </cell>
          <cell r="R504">
            <v>0</v>
          </cell>
          <cell r="U504">
            <v>0</v>
          </cell>
          <cell r="X504">
            <v>0</v>
          </cell>
          <cell r="BC504" t="str">
            <v>Entry</v>
          </cell>
          <cell r="BH504" t="str">
            <v>Y</v>
          </cell>
          <cell r="BI504" t="str">
            <v>Y</v>
          </cell>
        </row>
        <row r="505">
          <cell r="J505">
            <v>0</v>
          </cell>
          <cell r="L505">
            <v>0</v>
          </cell>
          <cell r="N505">
            <v>0</v>
          </cell>
          <cell r="P505">
            <v>0</v>
          </cell>
          <cell r="R505">
            <v>0</v>
          </cell>
          <cell r="U505">
            <v>0</v>
          </cell>
          <cell r="X505">
            <v>0</v>
          </cell>
          <cell r="BC505" t="str">
            <v>Exit</v>
          </cell>
          <cell r="BH505" t="str">
            <v>Y</v>
          </cell>
          <cell r="BI505" t="str">
            <v>Y</v>
          </cell>
        </row>
        <row r="506">
          <cell r="H506">
            <v>0</v>
          </cell>
          <cell r="I506">
            <v>0</v>
          </cell>
          <cell r="BC506" t="str">
            <v>Exit</v>
          </cell>
          <cell r="BH506" t="str">
            <v>Y</v>
          </cell>
          <cell r="BI506" t="str">
            <v>Y</v>
          </cell>
        </row>
        <row r="507">
          <cell r="J507">
            <v>0</v>
          </cell>
          <cell r="L507">
            <v>0</v>
          </cell>
          <cell r="N507">
            <v>0</v>
          </cell>
          <cell r="P507">
            <v>0</v>
          </cell>
          <cell r="R507">
            <v>0</v>
          </cell>
          <cell r="U507">
            <v>0</v>
          </cell>
          <cell r="X507">
            <v>0</v>
          </cell>
          <cell r="BC507" t="str">
            <v>Entry</v>
          </cell>
          <cell r="BH507" t="str">
            <v>Y</v>
          </cell>
          <cell r="BI507" t="str">
            <v>Y</v>
          </cell>
        </row>
        <row r="508">
          <cell r="H508">
            <v>0</v>
          </cell>
          <cell r="I508">
            <v>0</v>
          </cell>
          <cell r="BC508" t="str">
            <v>Entry</v>
          </cell>
          <cell r="BH508" t="str">
            <v>Y</v>
          </cell>
          <cell r="BI508" t="str">
            <v>Y</v>
          </cell>
        </row>
        <row r="509">
          <cell r="H509">
            <v>0</v>
          </cell>
          <cell r="I509">
            <v>0</v>
          </cell>
          <cell r="BC509" t="str">
            <v>Exit</v>
          </cell>
          <cell r="BH509" t="str">
            <v>Y</v>
          </cell>
          <cell r="BI509" t="str">
            <v>Y</v>
          </cell>
        </row>
        <row r="510">
          <cell r="J510">
            <v>0</v>
          </cell>
          <cell r="L510">
            <v>0</v>
          </cell>
          <cell r="N510">
            <v>0</v>
          </cell>
          <cell r="P510">
            <v>0</v>
          </cell>
          <cell r="R510">
            <v>0</v>
          </cell>
          <cell r="U510">
            <v>0</v>
          </cell>
          <cell r="X510">
            <v>0</v>
          </cell>
          <cell r="BC510" t="str">
            <v>Exit</v>
          </cell>
          <cell r="BH510" t="str">
            <v>Y</v>
          </cell>
          <cell r="BI510" t="str">
            <v>Y</v>
          </cell>
        </row>
        <row r="511">
          <cell r="J511">
            <v>0</v>
          </cell>
          <cell r="L511">
            <v>0</v>
          </cell>
          <cell r="N511">
            <v>1</v>
          </cell>
          <cell r="P511">
            <v>0</v>
          </cell>
          <cell r="R511">
            <v>0</v>
          </cell>
          <cell r="U511">
            <v>3</v>
          </cell>
          <cell r="X511">
            <v>0</v>
          </cell>
          <cell r="BC511" t="str">
            <v>Entry</v>
          </cell>
          <cell r="BH511" t="str">
            <v>Y</v>
          </cell>
          <cell r="BI511" t="str">
            <v>Y</v>
          </cell>
        </row>
        <row r="512">
          <cell r="H512">
            <v>1</v>
          </cell>
          <cell r="I512">
            <v>1</v>
          </cell>
          <cell r="BC512" t="str">
            <v>Entry</v>
          </cell>
          <cell r="BH512" t="str">
            <v>Y</v>
          </cell>
          <cell r="BI512" t="str">
            <v>Y</v>
          </cell>
        </row>
        <row r="513">
          <cell r="J513">
            <v>0</v>
          </cell>
          <cell r="L513">
            <v>0</v>
          </cell>
          <cell r="N513">
            <v>0</v>
          </cell>
          <cell r="P513">
            <v>0</v>
          </cell>
          <cell r="R513">
            <v>0</v>
          </cell>
          <cell r="U513">
            <v>0</v>
          </cell>
          <cell r="X513">
            <v>0</v>
          </cell>
          <cell r="BC513" t="str">
            <v>Entry</v>
          </cell>
          <cell r="BH513" t="str">
            <v>Y</v>
          </cell>
          <cell r="BI513" t="str">
            <v>Y</v>
          </cell>
        </row>
        <row r="514">
          <cell r="H514">
            <v>1</v>
          </cell>
          <cell r="I514">
            <v>1</v>
          </cell>
          <cell r="BC514" t="str">
            <v>Entry</v>
          </cell>
          <cell r="BH514" t="str">
            <v>Y</v>
          </cell>
          <cell r="BI514" t="str">
            <v>Y</v>
          </cell>
        </row>
        <row r="515">
          <cell r="H515">
            <v>1</v>
          </cell>
          <cell r="I515">
            <v>1</v>
          </cell>
          <cell r="BC515" t="str">
            <v>Exit</v>
          </cell>
          <cell r="BH515" t="str">
            <v>Y</v>
          </cell>
          <cell r="BI515" t="str">
            <v>Y</v>
          </cell>
        </row>
        <row r="516">
          <cell r="J516">
            <v>0</v>
          </cell>
          <cell r="L516">
            <v>0</v>
          </cell>
          <cell r="N516">
            <v>0</v>
          </cell>
          <cell r="P516">
            <v>0</v>
          </cell>
          <cell r="R516">
            <v>0</v>
          </cell>
          <cell r="U516">
            <v>0</v>
          </cell>
          <cell r="X516">
            <v>1</v>
          </cell>
          <cell r="Y516">
            <v>1</v>
          </cell>
          <cell r="BC516" t="str">
            <v>Exit</v>
          </cell>
          <cell r="BH516" t="str">
            <v>Y</v>
          </cell>
          <cell r="BI516" t="str">
            <v>Y</v>
          </cell>
        </row>
        <row r="517">
          <cell r="H517">
            <v>0</v>
          </cell>
          <cell r="I517">
            <v>0</v>
          </cell>
          <cell r="BC517" t="str">
            <v>Entry</v>
          </cell>
          <cell r="BH517" t="str">
            <v>Y</v>
          </cell>
          <cell r="BI517" t="str">
            <v>Y</v>
          </cell>
        </row>
        <row r="518">
          <cell r="J518">
            <v>0</v>
          </cell>
          <cell r="L518">
            <v>0</v>
          </cell>
          <cell r="N518">
            <v>0</v>
          </cell>
          <cell r="P518">
            <v>0</v>
          </cell>
          <cell r="R518">
            <v>0</v>
          </cell>
          <cell r="U518">
            <v>0</v>
          </cell>
          <cell r="X518">
            <v>0</v>
          </cell>
          <cell r="BC518" t="str">
            <v>Entry</v>
          </cell>
          <cell r="BH518" t="str">
            <v>Y</v>
          </cell>
          <cell r="BI518" t="str">
            <v>Y</v>
          </cell>
        </row>
        <row r="519">
          <cell r="J519">
            <v>0</v>
          </cell>
          <cell r="L519">
            <v>0</v>
          </cell>
          <cell r="N519">
            <v>0</v>
          </cell>
          <cell r="P519">
            <v>0</v>
          </cell>
          <cell r="R519">
            <v>0</v>
          </cell>
          <cell r="U519">
            <v>0</v>
          </cell>
          <cell r="X519">
            <v>0</v>
          </cell>
          <cell r="BC519" t="str">
            <v>Entry</v>
          </cell>
          <cell r="BH519" t="str">
            <v>Y</v>
          </cell>
          <cell r="BI519" t="str">
            <v>Y</v>
          </cell>
        </row>
        <row r="520">
          <cell r="H520">
            <v>0</v>
          </cell>
          <cell r="I520">
            <v>0</v>
          </cell>
          <cell r="BC520" t="str">
            <v>Entry</v>
          </cell>
          <cell r="BH520" t="str">
            <v>Y</v>
          </cell>
          <cell r="BI520" t="str">
            <v>Y</v>
          </cell>
        </row>
        <row r="521">
          <cell r="J521">
            <v>0</v>
          </cell>
          <cell r="L521">
            <v>0</v>
          </cell>
          <cell r="N521">
            <v>0</v>
          </cell>
          <cell r="P521">
            <v>0</v>
          </cell>
          <cell r="R521">
            <v>0</v>
          </cell>
          <cell r="U521">
            <v>0</v>
          </cell>
          <cell r="X521">
            <v>0</v>
          </cell>
          <cell r="BC521" t="str">
            <v>Exit</v>
          </cell>
          <cell r="BH521" t="str">
            <v>Y</v>
          </cell>
          <cell r="BI521" t="str">
            <v>Y</v>
          </cell>
        </row>
        <row r="522">
          <cell r="H522">
            <v>0</v>
          </cell>
          <cell r="I522">
            <v>0</v>
          </cell>
          <cell r="BC522" t="str">
            <v>Exit</v>
          </cell>
          <cell r="BH522" t="str">
            <v>Y</v>
          </cell>
          <cell r="BI522" t="str">
            <v>Y</v>
          </cell>
        </row>
        <row r="523">
          <cell r="H523">
            <v>0</v>
          </cell>
          <cell r="I523">
            <v>0</v>
          </cell>
          <cell r="BC523" t="str">
            <v>Entry</v>
          </cell>
          <cell r="BH523" t="str">
            <v>Y</v>
          </cell>
          <cell r="BI523" t="str">
            <v>Y</v>
          </cell>
        </row>
        <row r="524">
          <cell r="J524">
            <v>0</v>
          </cell>
          <cell r="L524">
            <v>0</v>
          </cell>
          <cell r="N524">
            <v>0</v>
          </cell>
          <cell r="P524">
            <v>0</v>
          </cell>
          <cell r="R524">
            <v>0</v>
          </cell>
          <cell r="U524">
            <v>0</v>
          </cell>
          <cell r="X524">
            <v>0</v>
          </cell>
          <cell r="BC524" t="str">
            <v>Entry</v>
          </cell>
          <cell r="BH524" t="str">
            <v>Y</v>
          </cell>
          <cell r="BI524" t="str">
            <v>Y</v>
          </cell>
        </row>
        <row r="525">
          <cell r="H525">
            <v>0</v>
          </cell>
          <cell r="I525">
            <v>0</v>
          </cell>
          <cell r="BC525" t="str">
            <v>Exit</v>
          </cell>
          <cell r="BH525" t="str">
            <v>Y</v>
          </cell>
          <cell r="BI525" t="str">
            <v>Y</v>
          </cell>
        </row>
        <row r="526">
          <cell r="J526">
            <v>0</v>
          </cell>
          <cell r="L526">
            <v>0</v>
          </cell>
          <cell r="N526">
            <v>0</v>
          </cell>
          <cell r="P526">
            <v>0</v>
          </cell>
          <cell r="R526">
            <v>0</v>
          </cell>
          <cell r="U526">
            <v>0</v>
          </cell>
          <cell r="X526">
            <v>0</v>
          </cell>
          <cell r="BC526" t="str">
            <v>Exit</v>
          </cell>
          <cell r="BH526" t="str">
            <v>Y</v>
          </cell>
          <cell r="BI526" t="str">
            <v>Y</v>
          </cell>
        </row>
        <row r="527">
          <cell r="J527">
            <v>0</v>
          </cell>
          <cell r="L527">
            <v>0</v>
          </cell>
          <cell r="N527">
            <v>0</v>
          </cell>
          <cell r="P527">
            <v>0</v>
          </cell>
          <cell r="R527">
            <v>0</v>
          </cell>
          <cell r="U527">
            <v>0</v>
          </cell>
          <cell r="X527">
            <v>0</v>
          </cell>
          <cell r="BC527" t="str">
            <v>Entry</v>
          </cell>
          <cell r="BH527" t="str">
            <v>Y</v>
          </cell>
          <cell r="BI527" t="str">
            <v>Y</v>
          </cell>
        </row>
        <row r="528">
          <cell r="H528">
            <v>0</v>
          </cell>
          <cell r="I528">
            <v>0</v>
          </cell>
          <cell r="BC528" t="str">
            <v>Entry</v>
          </cell>
          <cell r="BH528" t="str">
            <v>Y</v>
          </cell>
          <cell r="BI528" t="str">
            <v>Y</v>
          </cell>
        </row>
        <row r="529">
          <cell r="J529">
            <v>0</v>
          </cell>
          <cell r="L529">
            <v>0</v>
          </cell>
          <cell r="N529">
            <v>1</v>
          </cell>
          <cell r="P529">
            <v>0</v>
          </cell>
          <cell r="R529">
            <v>1</v>
          </cell>
          <cell r="U529">
            <v>0</v>
          </cell>
          <cell r="X529">
            <v>0</v>
          </cell>
          <cell r="BC529" t="str">
            <v>Exit</v>
          </cell>
          <cell r="BH529" t="str">
            <v>Y</v>
          </cell>
          <cell r="BI529" t="str">
            <v>Y</v>
          </cell>
        </row>
        <row r="530">
          <cell r="H530">
            <v>0</v>
          </cell>
          <cell r="I530">
            <v>0</v>
          </cell>
          <cell r="BC530" t="str">
            <v>Exit</v>
          </cell>
          <cell r="BH530" t="str">
            <v>Y</v>
          </cell>
          <cell r="BI530" t="str">
            <v>Y</v>
          </cell>
        </row>
        <row r="531">
          <cell r="H531">
            <v>0</v>
          </cell>
          <cell r="I531">
            <v>0</v>
          </cell>
          <cell r="BC531" t="str">
            <v>Entry</v>
          </cell>
          <cell r="BH531" t="str">
            <v>Y</v>
          </cell>
          <cell r="BI531" t="str">
            <v>Y</v>
          </cell>
        </row>
        <row r="532">
          <cell r="J532">
            <v>0</v>
          </cell>
          <cell r="L532">
            <v>0</v>
          </cell>
          <cell r="N532">
            <v>0</v>
          </cell>
          <cell r="P532">
            <v>0</v>
          </cell>
          <cell r="R532">
            <v>0</v>
          </cell>
          <cell r="U532">
            <v>0</v>
          </cell>
          <cell r="X532">
            <v>0</v>
          </cell>
          <cell r="BC532" t="str">
            <v>Entry</v>
          </cell>
          <cell r="BH532" t="str">
            <v>Y</v>
          </cell>
          <cell r="BI532" t="str">
            <v>Y</v>
          </cell>
        </row>
        <row r="533">
          <cell r="J533">
            <v>1</v>
          </cell>
          <cell r="L533">
            <v>0</v>
          </cell>
          <cell r="N533">
            <v>1</v>
          </cell>
          <cell r="P533">
            <v>0</v>
          </cell>
          <cell r="R533">
            <v>0</v>
          </cell>
          <cell r="U533">
            <v>0</v>
          </cell>
          <cell r="X533">
            <v>0</v>
          </cell>
          <cell r="BC533" t="str">
            <v>Entry</v>
          </cell>
          <cell r="BH533" t="str">
            <v>Y</v>
          </cell>
          <cell r="BI533" t="str">
            <v>Y</v>
          </cell>
        </row>
        <row r="534">
          <cell r="H534">
            <v>0</v>
          </cell>
          <cell r="I534">
            <v>0</v>
          </cell>
          <cell r="BC534" t="str">
            <v>Entry</v>
          </cell>
          <cell r="BH534" t="str">
            <v>Y</v>
          </cell>
          <cell r="BI534" t="str">
            <v>Y</v>
          </cell>
        </row>
        <row r="535">
          <cell r="J535">
            <v>1</v>
          </cell>
          <cell r="L535">
            <v>0</v>
          </cell>
          <cell r="N535">
            <v>1</v>
          </cell>
          <cell r="P535">
            <v>0</v>
          </cell>
          <cell r="R535">
            <v>0</v>
          </cell>
          <cell r="U535">
            <v>0</v>
          </cell>
          <cell r="X535">
            <v>0</v>
          </cell>
          <cell r="BC535" t="str">
            <v>Exit</v>
          </cell>
          <cell r="BH535" t="str">
            <v>Y</v>
          </cell>
          <cell r="BI535" t="str">
            <v>Y</v>
          </cell>
        </row>
        <row r="536">
          <cell r="H536">
            <v>1</v>
          </cell>
          <cell r="I536">
            <v>1</v>
          </cell>
          <cell r="BC536" t="str">
            <v>Exit</v>
          </cell>
          <cell r="BH536" t="str">
            <v>Y</v>
          </cell>
          <cell r="BI536" t="str">
            <v>Y</v>
          </cell>
        </row>
        <row r="537">
          <cell r="J537">
            <v>1</v>
          </cell>
          <cell r="L537">
            <v>1</v>
          </cell>
          <cell r="N537">
            <v>1</v>
          </cell>
          <cell r="P537">
            <v>1</v>
          </cell>
          <cell r="R537">
            <v>1</v>
          </cell>
          <cell r="U537">
            <v>1</v>
          </cell>
          <cell r="X537">
            <v>1</v>
          </cell>
          <cell r="Y537">
            <v>1</v>
          </cell>
          <cell r="BC537" t="str">
            <v>Neither</v>
          </cell>
          <cell r="BH537" t="str">
            <v>Y</v>
          </cell>
          <cell r="BI537" t="str">
            <v>Y</v>
          </cell>
        </row>
        <row r="538">
          <cell r="H538">
            <v>1</v>
          </cell>
          <cell r="I538">
            <v>1</v>
          </cell>
          <cell r="BC538" t="str">
            <v>Neither</v>
          </cell>
          <cell r="BH538" t="str">
            <v>Y</v>
          </cell>
          <cell r="BI538" t="str">
            <v>Y</v>
          </cell>
        </row>
        <row r="539">
          <cell r="J539">
            <v>1</v>
          </cell>
          <cell r="L539">
            <v>1</v>
          </cell>
          <cell r="N539">
            <v>1</v>
          </cell>
          <cell r="P539">
            <v>1</v>
          </cell>
          <cell r="R539">
            <v>1</v>
          </cell>
          <cell r="U539">
            <v>1</v>
          </cell>
          <cell r="X539">
            <v>1</v>
          </cell>
          <cell r="Y539">
            <v>1</v>
          </cell>
          <cell r="BC539" t="str">
            <v>Neither</v>
          </cell>
          <cell r="BH539" t="str">
            <v>Y</v>
          </cell>
          <cell r="BI539" t="str">
            <v>Y</v>
          </cell>
        </row>
        <row r="540">
          <cell r="H540">
            <v>1</v>
          </cell>
          <cell r="I540">
            <v>1</v>
          </cell>
          <cell r="BC540" t="str">
            <v>Neither</v>
          </cell>
          <cell r="BH540" t="str">
            <v>Y</v>
          </cell>
          <cell r="BI540" t="str">
            <v>Y</v>
          </cell>
        </row>
        <row r="541">
          <cell r="J541">
            <v>1</v>
          </cell>
          <cell r="L541">
            <v>1</v>
          </cell>
          <cell r="N541">
            <v>1</v>
          </cell>
          <cell r="P541">
            <v>1</v>
          </cell>
          <cell r="R541">
            <v>1</v>
          </cell>
          <cell r="U541">
            <v>1</v>
          </cell>
          <cell r="X541">
            <v>1</v>
          </cell>
          <cell r="Y541">
            <v>1</v>
          </cell>
          <cell r="BC541" t="str">
            <v>Entry</v>
          </cell>
          <cell r="BH541" t="str">
            <v>Y</v>
          </cell>
          <cell r="BI541" t="str">
            <v>Y</v>
          </cell>
        </row>
        <row r="542">
          <cell r="H542">
            <v>1</v>
          </cell>
          <cell r="I542">
            <v>1</v>
          </cell>
          <cell r="BC542" t="str">
            <v>Entry</v>
          </cell>
          <cell r="BH542" t="str">
            <v>Y</v>
          </cell>
          <cell r="BI542" t="str">
            <v>Y</v>
          </cell>
        </row>
        <row r="543">
          <cell r="J543">
            <v>1</v>
          </cell>
          <cell r="L543">
            <v>1</v>
          </cell>
          <cell r="N543">
            <v>1</v>
          </cell>
          <cell r="P543">
            <v>1</v>
          </cell>
          <cell r="R543">
            <v>1</v>
          </cell>
          <cell r="U543">
            <v>1</v>
          </cell>
          <cell r="X543">
            <v>1</v>
          </cell>
          <cell r="Y543">
            <v>1</v>
          </cell>
          <cell r="BC543" t="str">
            <v>Exit</v>
          </cell>
          <cell r="BH543" t="str">
            <v>Y</v>
          </cell>
          <cell r="BI543" t="str">
            <v>Y</v>
          </cell>
        </row>
        <row r="544">
          <cell r="H544">
            <v>1</v>
          </cell>
          <cell r="I544">
            <v>1</v>
          </cell>
          <cell r="BC544" t="str">
            <v>Exit</v>
          </cell>
          <cell r="BH544" t="str">
            <v>Y</v>
          </cell>
          <cell r="BI544" t="str">
            <v>Y</v>
          </cell>
        </row>
        <row r="545">
          <cell r="H545">
            <v>0</v>
          </cell>
          <cell r="I545">
            <v>0</v>
          </cell>
          <cell r="BC545" t="str">
            <v>Neither</v>
          </cell>
          <cell r="BH545" t="str">
            <v>Y</v>
          </cell>
          <cell r="BI545" t="str">
            <v>Y</v>
          </cell>
        </row>
        <row r="546">
          <cell r="J546">
            <v>0</v>
          </cell>
          <cell r="L546">
            <v>0</v>
          </cell>
          <cell r="N546">
            <v>0</v>
          </cell>
          <cell r="P546">
            <v>0</v>
          </cell>
          <cell r="R546">
            <v>0</v>
          </cell>
          <cell r="U546">
            <v>1</v>
          </cell>
          <cell r="X546">
            <v>1</v>
          </cell>
          <cell r="Y546">
            <v>1</v>
          </cell>
          <cell r="BC546" t="str">
            <v>Neither</v>
          </cell>
          <cell r="BH546" t="str">
            <v>Y</v>
          </cell>
          <cell r="BI546" t="str">
            <v>Y</v>
          </cell>
        </row>
        <row r="547">
          <cell r="H547">
            <v>0</v>
          </cell>
          <cell r="I547">
            <v>0</v>
          </cell>
          <cell r="BC547" t="str">
            <v>Neither</v>
          </cell>
          <cell r="BH547" t="str">
            <v>Y</v>
          </cell>
          <cell r="BI547" t="str">
            <v>Y</v>
          </cell>
        </row>
        <row r="548">
          <cell r="J548">
            <v>0</v>
          </cell>
          <cell r="L548">
            <v>0</v>
          </cell>
          <cell r="N548">
            <v>0</v>
          </cell>
          <cell r="P548">
            <v>0</v>
          </cell>
          <cell r="R548">
            <v>0</v>
          </cell>
          <cell r="U548">
            <v>1</v>
          </cell>
          <cell r="X548">
            <v>1</v>
          </cell>
          <cell r="Y548">
            <v>1</v>
          </cell>
          <cell r="BC548" t="str">
            <v>Neither</v>
          </cell>
          <cell r="BH548" t="str">
            <v>Y</v>
          </cell>
          <cell r="BI548" t="str">
            <v>Y</v>
          </cell>
        </row>
        <row r="549">
          <cell r="H549">
            <v>1</v>
          </cell>
          <cell r="I549">
            <v>1</v>
          </cell>
          <cell r="BC549" t="str">
            <v>Entry</v>
          </cell>
          <cell r="BH549" t="str">
            <v>Y</v>
          </cell>
          <cell r="BI549" t="str">
            <v>Y</v>
          </cell>
        </row>
        <row r="550">
          <cell r="J550">
            <v>0</v>
          </cell>
          <cell r="L550">
            <v>0</v>
          </cell>
          <cell r="N550">
            <v>0</v>
          </cell>
          <cell r="P550">
            <v>0</v>
          </cell>
          <cell r="R550">
            <v>0</v>
          </cell>
          <cell r="U550">
            <v>1</v>
          </cell>
          <cell r="X550">
            <v>1</v>
          </cell>
          <cell r="Y550">
            <v>1</v>
          </cell>
          <cell r="BC550" t="str">
            <v>Entry</v>
          </cell>
          <cell r="BH550" t="str">
            <v>Y</v>
          </cell>
          <cell r="BI550" t="str">
            <v>Y</v>
          </cell>
        </row>
        <row r="551">
          <cell r="J551">
            <v>0</v>
          </cell>
          <cell r="L551">
            <v>0</v>
          </cell>
          <cell r="N551">
            <v>0</v>
          </cell>
          <cell r="P551">
            <v>0</v>
          </cell>
          <cell r="R551">
            <v>0</v>
          </cell>
          <cell r="U551">
            <v>1</v>
          </cell>
          <cell r="X551">
            <v>1</v>
          </cell>
          <cell r="Y551">
            <v>1</v>
          </cell>
          <cell r="BC551" t="str">
            <v>Exit</v>
          </cell>
          <cell r="BH551" t="str">
            <v>Y</v>
          </cell>
          <cell r="BI551" t="str">
            <v>Y</v>
          </cell>
        </row>
        <row r="552">
          <cell r="H552">
            <v>1</v>
          </cell>
          <cell r="I552">
            <v>1</v>
          </cell>
          <cell r="BC552" t="str">
            <v>Exit</v>
          </cell>
          <cell r="BH552" t="str">
            <v>Y</v>
          </cell>
          <cell r="BI552" t="str">
            <v>Y</v>
          </cell>
        </row>
        <row r="553">
          <cell r="J553">
            <v>0</v>
          </cell>
          <cell r="L553">
            <v>0</v>
          </cell>
          <cell r="N553">
            <v>0</v>
          </cell>
          <cell r="P553">
            <v>0</v>
          </cell>
          <cell r="R553">
            <v>1</v>
          </cell>
          <cell r="U553">
            <v>0</v>
          </cell>
          <cell r="X553">
            <v>0</v>
          </cell>
          <cell r="BC553" t="str">
            <v>Neither</v>
          </cell>
          <cell r="BH553" t="str">
            <v>Y</v>
          </cell>
          <cell r="BI553" t="str">
            <v>Y</v>
          </cell>
        </row>
        <row r="554">
          <cell r="H554">
            <v>0</v>
          </cell>
          <cell r="I554">
            <v>0</v>
          </cell>
          <cell r="BC554" t="str">
            <v>Neither</v>
          </cell>
          <cell r="BH554" t="str">
            <v>Y</v>
          </cell>
          <cell r="BI554" t="str">
            <v>Y</v>
          </cell>
        </row>
        <row r="555">
          <cell r="J555">
            <v>0</v>
          </cell>
          <cell r="L555">
            <v>0</v>
          </cell>
          <cell r="N555">
            <v>0</v>
          </cell>
          <cell r="P555">
            <v>0</v>
          </cell>
          <cell r="R555">
            <v>1</v>
          </cell>
          <cell r="U555">
            <v>0</v>
          </cell>
          <cell r="X555">
            <v>0</v>
          </cell>
          <cell r="BC555" t="str">
            <v>Neither</v>
          </cell>
          <cell r="BH555" t="str">
            <v>Y</v>
          </cell>
          <cell r="BI555" t="str">
            <v>Y</v>
          </cell>
        </row>
        <row r="556">
          <cell r="H556">
            <v>0</v>
          </cell>
          <cell r="I556">
            <v>0</v>
          </cell>
          <cell r="BC556" t="str">
            <v>Neither</v>
          </cell>
          <cell r="BH556" t="str">
            <v>Y</v>
          </cell>
          <cell r="BI556" t="str">
            <v>Y</v>
          </cell>
        </row>
        <row r="557">
          <cell r="H557">
            <v>0</v>
          </cell>
          <cell r="I557">
            <v>0</v>
          </cell>
          <cell r="BC557" t="str">
            <v>Neither</v>
          </cell>
          <cell r="BH557" t="str">
            <v>Y</v>
          </cell>
          <cell r="BI557" t="str">
            <v>Y</v>
          </cell>
        </row>
        <row r="558">
          <cell r="J558">
            <v>0</v>
          </cell>
          <cell r="L558">
            <v>0</v>
          </cell>
          <cell r="N558">
            <v>0</v>
          </cell>
          <cell r="P558">
            <v>0</v>
          </cell>
          <cell r="R558">
            <v>1</v>
          </cell>
          <cell r="U558">
            <v>0</v>
          </cell>
          <cell r="X558">
            <v>0</v>
          </cell>
          <cell r="BC558" t="str">
            <v>Neither</v>
          </cell>
          <cell r="BH558" t="str">
            <v>Y</v>
          </cell>
          <cell r="BI558" t="str">
            <v>Y</v>
          </cell>
        </row>
        <row r="559">
          <cell r="J559">
            <v>0</v>
          </cell>
          <cell r="L559">
            <v>0</v>
          </cell>
          <cell r="N559">
            <v>0</v>
          </cell>
          <cell r="P559">
            <v>0</v>
          </cell>
          <cell r="R559">
            <v>1</v>
          </cell>
          <cell r="U559">
            <v>0</v>
          </cell>
          <cell r="X559">
            <v>0</v>
          </cell>
          <cell r="BC559" t="str">
            <v>Entry</v>
          </cell>
          <cell r="BH559" t="str">
            <v>Y</v>
          </cell>
          <cell r="BI559" t="str">
            <v>Y</v>
          </cell>
        </row>
        <row r="560">
          <cell r="H560">
            <v>0</v>
          </cell>
          <cell r="I560">
            <v>0</v>
          </cell>
          <cell r="BC560" t="str">
            <v>Entry</v>
          </cell>
          <cell r="BH560" t="str">
            <v>Y</v>
          </cell>
          <cell r="BI560" t="str">
            <v>Y</v>
          </cell>
        </row>
        <row r="561">
          <cell r="J561">
            <v>0</v>
          </cell>
          <cell r="L561">
            <v>0</v>
          </cell>
          <cell r="N561">
            <v>0</v>
          </cell>
          <cell r="P561">
            <v>0</v>
          </cell>
          <cell r="R561">
            <v>1</v>
          </cell>
          <cell r="U561">
            <v>0</v>
          </cell>
          <cell r="X561">
            <v>0</v>
          </cell>
          <cell r="BC561" t="str">
            <v>Exit</v>
          </cell>
          <cell r="BH561" t="str">
            <v>Y</v>
          </cell>
          <cell r="BI561" t="str">
            <v>Y</v>
          </cell>
        </row>
        <row r="562">
          <cell r="H562">
            <v>0</v>
          </cell>
          <cell r="I562">
            <v>0</v>
          </cell>
          <cell r="BC562" t="str">
            <v>Exit</v>
          </cell>
          <cell r="BH562" t="str">
            <v>Y</v>
          </cell>
          <cell r="BI562" t="str">
            <v>Y</v>
          </cell>
        </row>
        <row r="563">
          <cell r="H563">
            <v>0</v>
          </cell>
          <cell r="I563">
            <v>0</v>
          </cell>
          <cell r="BC563" t="str">
            <v>Neither</v>
          </cell>
          <cell r="BH563" t="str">
            <v>Y</v>
          </cell>
          <cell r="BI563" t="str">
            <v>Y</v>
          </cell>
        </row>
        <row r="564">
          <cell r="J564">
            <v>0</v>
          </cell>
          <cell r="L564">
            <v>0</v>
          </cell>
          <cell r="N564">
            <v>0</v>
          </cell>
          <cell r="P564">
            <v>0</v>
          </cell>
          <cell r="R564">
            <v>1</v>
          </cell>
          <cell r="U564">
            <v>0</v>
          </cell>
          <cell r="X564">
            <v>0</v>
          </cell>
          <cell r="BC564" t="str">
            <v>Neither</v>
          </cell>
          <cell r="BH564" t="str">
            <v>Y</v>
          </cell>
          <cell r="BI564" t="str">
            <v>Y</v>
          </cell>
        </row>
        <row r="565">
          <cell r="J565">
            <v>0</v>
          </cell>
          <cell r="L565">
            <v>0</v>
          </cell>
          <cell r="N565">
            <v>0</v>
          </cell>
          <cell r="P565">
            <v>0</v>
          </cell>
          <cell r="R565">
            <v>1</v>
          </cell>
          <cell r="U565">
            <v>0</v>
          </cell>
          <cell r="X565">
            <v>0</v>
          </cell>
          <cell r="BC565" t="str">
            <v>Neither</v>
          </cell>
          <cell r="BH565" t="str">
            <v>Y</v>
          </cell>
          <cell r="BI565" t="str">
            <v>Y</v>
          </cell>
        </row>
        <row r="566">
          <cell r="H566">
            <v>0</v>
          </cell>
          <cell r="I566">
            <v>0</v>
          </cell>
          <cell r="BC566" t="str">
            <v>Neither</v>
          </cell>
          <cell r="BH566" t="str">
            <v>Y</v>
          </cell>
          <cell r="BI566" t="str">
            <v>Y</v>
          </cell>
        </row>
        <row r="567">
          <cell r="J567">
            <v>0</v>
          </cell>
          <cell r="L567">
            <v>0</v>
          </cell>
          <cell r="N567">
            <v>0</v>
          </cell>
          <cell r="P567">
            <v>0</v>
          </cell>
          <cell r="R567">
            <v>1</v>
          </cell>
          <cell r="U567">
            <v>0</v>
          </cell>
          <cell r="X567">
            <v>0</v>
          </cell>
          <cell r="BC567" t="str">
            <v>Entry</v>
          </cell>
          <cell r="BH567" t="str">
            <v>Y</v>
          </cell>
          <cell r="BI567" t="str">
            <v>Y</v>
          </cell>
        </row>
        <row r="568">
          <cell r="H568">
            <v>0</v>
          </cell>
          <cell r="I568">
            <v>0</v>
          </cell>
          <cell r="BC568" t="str">
            <v>Entry</v>
          </cell>
          <cell r="BH568" t="str">
            <v>Y</v>
          </cell>
          <cell r="BI568" t="str">
            <v>Y</v>
          </cell>
        </row>
        <row r="569">
          <cell r="J569">
            <v>0</v>
          </cell>
          <cell r="L569">
            <v>0</v>
          </cell>
          <cell r="N569">
            <v>0</v>
          </cell>
          <cell r="P569">
            <v>0</v>
          </cell>
          <cell r="R569">
            <v>1</v>
          </cell>
          <cell r="U569">
            <v>0</v>
          </cell>
          <cell r="X569">
            <v>0</v>
          </cell>
          <cell r="BC569" t="str">
            <v>Exit</v>
          </cell>
          <cell r="BH569" t="str">
            <v>Y</v>
          </cell>
          <cell r="BI569" t="str">
            <v>Y</v>
          </cell>
        </row>
        <row r="570">
          <cell r="H570">
            <v>0</v>
          </cell>
          <cell r="I570">
            <v>0</v>
          </cell>
          <cell r="BC570" t="str">
            <v>Exit</v>
          </cell>
          <cell r="BH570" t="str">
            <v>Y</v>
          </cell>
          <cell r="BI570" t="str">
            <v>Y</v>
          </cell>
        </row>
        <row r="571">
          <cell r="H571">
            <v>1</v>
          </cell>
          <cell r="I571">
            <v>1</v>
          </cell>
          <cell r="BC571" t="str">
            <v>Entry</v>
          </cell>
          <cell r="BH571" t="str">
            <v>Y</v>
          </cell>
          <cell r="BI571" t="str">
            <v>Y</v>
          </cell>
        </row>
        <row r="572">
          <cell r="J572">
            <v>0</v>
          </cell>
          <cell r="L572">
            <v>0</v>
          </cell>
          <cell r="N572">
            <v>1</v>
          </cell>
          <cell r="P572">
            <v>0</v>
          </cell>
          <cell r="R572">
            <v>0</v>
          </cell>
          <cell r="U572">
            <v>3</v>
          </cell>
          <cell r="X572">
            <v>1</v>
          </cell>
          <cell r="Y572">
            <v>2</v>
          </cell>
          <cell r="BC572" t="str">
            <v>Entry</v>
          </cell>
          <cell r="BH572" t="str">
            <v>Y</v>
          </cell>
          <cell r="BI572" t="str">
            <v>Y</v>
          </cell>
        </row>
        <row r="573">
          <cell r="H573">
            <v>1</v>
          </cell>
          <cell r="I573">
            <v>1</v>
          </cell>
          <cell r="BC573" t="str">
            <v>Exit</v>
          </cell>
          <cell r="BH573" t="str">
            <v>Y</v>
          </cell>
          <cell r="BI573" t="str">
            <v>Y</v>
          </cell>
        </row>
        <row r="574">
          <cell r="J574">
            <v>0</v>
          </cell>
          <cell r="L574">
            <v>0</v>
          </cell>
          <cell r="N574">
            <v>1</v>
          </cell>
          <cell r="P574">
            <v>0</v>
          </cell>
          <cell r="R574">
            <v>0</v>
          </cell>
          <cell r="U574">
            <v>3</v>
          </cell>
          <cell r="X574">
            <v>1</v>
          </cell>
          <cell r="Y574">
            <v>2</v>
          </cell>
          <cell r="BC574" t="str">
            <v>Exit</v>
          </cell>
          <cell r="BH574" t="str">
            <v>Y</v>
          </cell>
          <cell r="BI574" t="str">
            <v>Y</v>
          </cell>
        </row>
        <row r="575">
          <cell r="J575">
            <v>0</v>
          </cell>
          <cell r="L575">
            <v>0</v>
          </cell>
          <cell r="N575">
            <v>0</v>
          </cell>
          <cell r="P575">
            <v>0</v>
          </cell>
          <cell r="R575">
            <v>1</v>
          </cell>
          <cell r="U575">
            <v>0</v>
          </cell>
          <cell r="X575">
            <v>0</v>
          </cell>
          <cell r="BC575" t="str">
            <v>Entry</v>
          </cell>
          <cell r="BH575" t="str">
            <v>Y</v>
          </cell>
          <cell r="BI575" t="str">
            <v>Y</v>
          </cell>
        </row>
        <row r="576">
          <cell r="H576">
            <v>0</v>
          </cell>
          <cell r="I576">
            <v>0</v>
          </cell>
          <cell r="BC576" t="str">
            <v>Entry</v>
          </cell>
          <cell r="BH576" t="str">
            <v>Y</v>
          </cell>
          <cell r="BI576" t="str">
            <v>Y</v>
          </cell>
        </row>
        <row r="577">
          <cell r="J577">
            <v>0</v>
          </cell>
          <cell r="L577">
            <v>0</v>
          </cell>
          <cell r="N577">
            <v>0</v>
          </cell>
          <cell r="P577">
            <v>0</v>
          </cell>
          <cell r="R577">
            <v>1</v>
          </cell>
          <cell r="U577">
            <v>0</v>
          </cell>
          <cell r="X577">
            <v>0</v>
          </cell>
          <cell r="BC577" t="str">
            <v>Exit</v>
          </cell>
          <cell r="BH577" t="str">
            <v>Y</v>
          </cell>
          <cell r="BI577" t="str">
            <v>Y</v>
          </cell>
        </row>
        <row r="578">
          <cell r="H578">
            <v>0</v>
          </cell>
          <cell r="I578">
            <v>0</v>
          </cell>
          <cell r="BC578" t="str">
            <v>Exit</v>
          </cell>
          <cell r="BH578" t="str">
            <v>Y</v>
          </cell>
          <cell r="BI578" t="str">
            <v>Y</v>
          </cell>
        </row>
        <row r="579">
          <cell r="H579">
            <v>8</v>
          </cell>
          <cell r="I579">
            <v>0</v>
          </cell>
          <cell r="BC579" t="str">
            <v>Entry</v>
          </cell>
          <cell r="BH579" t="str">
            <v>Y</v>
          </cell>
          <cell r="BI579" t="str">
            <v>Y</v>
          </cell>
        </row>
        <row r="580">
          <cell r="J580">
            <v>0</v>
          </cell>
          <cell r="L580">
            <v>0</v>
          </cell>
          <cell r="N580">
            <v>0</v>
          </cell>
          <cell r="P580">
            <v>0</v>
          </cell>
          <cell r="R580">
            <v>0</v>
          </cell>
          <cell r="U580">
            <v>0</v>
          </cell>
          <cell r="X580">
            <v>0</v>
          </cell>
          <cell r="BC580" t="str">
            <v>Entry</v>
          </cell>
          <cell r="BH580" t="str">
            <v>Y</v>
          </cell>
          <cell r="BI580" t="str">
            <v>Y</v>
          </cell>
        </row>
        <row r="581">
          <cell r="H581">
            <v>8</v>
          </cell>
          <cell r="I581">
            <v>0</v>
          </cell>
          <cell r="BC581" t="str">
            <v>Exit</v>
          </cell>
          <cell r="BH581" t="str">
            <v>Y</v>
          </cell>
          <cell r="BI581" t="str">
            <v>Y</v>
          </cell>
        </row>
        <row r="582">
          <cell r="J582">
            <v>0</v>
          </cell>
          <cell r="L582">
            <v>0</v>
          </cell>
          <cell r="N582">
            <v>0</v>
          </cell>
          <cell r="P582">
            <v>0</v>
          </cell>
          <cell r="R582">
            <v>0</v>
          </cell>
          <cell r="U582">
            <v>0</v>
          </cell>
          <cell r="X582">
            <v>0</v>
          </cell>
          <cell r="BC582" t="str">
            <v>Exit</v>
          </cell>
          <cell r="BH582" t="str">
            <v>Y</v>
          </cell>
          <cell r="BI582" t="str">
            <v>Y</v>
          </cell>
        </row>
        <row r="583">
          <cell r="H583">
            <v>8</v>
          </cell>
          <cell r="I583">
            <v>0</v>
          </cell>
          <cell r="BC583" t="str">
            <v>Entry</v>
          </cell>
          <cell r="BH583" t="str">
            <v>Y</v>
          </cell>
          <cell r="BI583" t="str">
            <v>Y</v>
          </cell>
        </row>
        <row r="584">
          <cell r="J584">
            <v>0</v>
          </cell>
          <cell r="L584">
            <v>0</v>
          </cell>
          <cell r="N584">
            <v>1</v>
          </cell>
          <cell r="P584">
            <v>0</v>
          </cell>
          <cell r="R584">
            <v>0</v>
          </cell>
          <cell r="U584">
            <v>2</v>
          </cell>
          <cell r="X584">
            <v>0</v>
          </cell>
          <cell r="BC584" t="str">
            <v>Entry</v>
          </cell>
          <cell r="BH584" t="str">
            <v>Y</v>
          </cell>
          <cell r="BI584" t="str">
            <v>Y</v>
          </cell>
        </row>
        <row r="585">
          <cell r="J585">
            <v>0</v>
          </cell>
          <cell r="L585">
            <v>0</v>
          </cell>
          <cell r="N585">
            <v>1</v>
          </cell>
          <cell r="P585">
            <v>0</v>
          </cell>
          <cell r="R585">
            <v>0</v>
          </cell>
          <cell r="U585">
            <v>2</v>
          </cell>
          <cell r="X585">
            <v>0</v>
          </cell>
          <cell r="BC585" t="str">
            <v>Exit</v>
          </cell>
          <cell r="BH585" t="str">
            <v>Y</v>
          </cell>
          <cell r="BI585" t="str">
            <v>Y</v>
          </cell>
        </row>
        <row r="586">
          <cell r="H586">
            <v>8</v>
          </cell>
          <cell r="I586">
            <v>0</v>
          </cell>
          <cell r="BC586" t="str">
            <v>Exit</v>
          </cell>
          <cell r="BH586" t="str">
            <v>Y</v>
          </cell>
          <cell r="BI586" t="str">
            <v>Y</v>
          </cell>
        </row>
        <row r="587">
          <cell r="J587">
            <v>0</v>
          </cell>
          <cell r="L587">
            <v>0</v>
          </cell>
          <cell r="N587">
            <v>0</v>
          </cell>
          <cell r="P587">
            <v>0</v>
          </cell>
          <cell r="R587">
            <v>0</v>
          </cell>
          <cell r="U587">
            <v>0</v>
          </cell>
          <cell r="X587">
            <v>1</v>
          </cell>
          <cell r="Y587">
            <v>1</v>
          </cell>
          <cell r="BC587" t="e">
            <v>#N/A</v>
          </cell>
          <cell r="BH587" t="str">
            <v>Y</v>
          </cell>
          <cell r="BI587" t="str">
            <v>Y</v>
          </cell>
        </row>
        <row r="588">
          <cell r="H588">
            <v>8</v>
          </cell>
          <cell r="I588">
            <v>0</v>
          </cell>
          <cell r="BC588" t="e">
            <v>#N/A</v>
          </cell>
          <cell r="BH588" t="str">
            <v>Y</v>
          </cell>
          <cell r="BI588" t="str">
            <v>Y</v>
          </cell>
        </row>
        <row r="589">
          <cell r="H589">
            <v>8</v>
          </cell>
          <cell r="I589">
            <v>0</v>
          </cell>
          <cell r="BC589" t="e">
            <v>#N/A</v>
          </cell>
          <cell r="BH589" t="str">
            <v>Y</v>
          </cell>
          <cell r="BI589" t="str">
            <v>Y</v>
          </cell>
        </row>
        <row r="590">
          <cell r="J590">
            <v>0</v>
          </cell>
          <cell r="L590">
            <v>0</v>
          </cell>
          <cell r="N590">
            <v>0</v>
          </cell>
          <cell r="P590">
            <v>0</v>
          </cell>
          <cell r="R590">
            <v>0</v>
          </cell>
          <cell r="U590">
            <v>0</v>
          </cell>
          <cell r="X590">
            <v>1</v>
          </cell>
          <cell r="Y590">
            <v>1</v>
          </cell>
          <cell r="BC590" t="e">
            <v>#N/A</v>
          </cell>
          <cell r="BH590" t="str">
            <v>Y</v>
          </cell>
          <cell r="BI590" t="str">
            <v>N</v>
          </cell>
        </row>
      </sheetData>
      <sheetData sheetId="5">
        <row r="1">
          <cell r="B1" t="str">
            <v>Agency ID</v>
          </cell>
          <cell r="F1" t="str">
            <v>Exit Date</v>
          </cell>
          <cell r="H1" t="str">
            <v>Veteran</v>
          </cell>
          <cell r="I1" t="str">
            <v>Disabling Condition</v>
          </cell>
          <cell r="J1" t="str">
            <v>Prior Living Situation</v>
          </cell>
          <cell r="L1" t="str">
            <v>Zip of Last Permanent  Address</v>
          </cell>
          <cell r="M1" t="str">
            <v>Zip Code Quality Code</v>
          </cell>
          <cell r="N1" t="str">
            <v>Homeless Status at Entry</v>
          </cell>
          <cell r="O1" t="str">
            <v>Housing Status at Exit</v>
          </cell>
          <cell r="Q1" t="str">
            <v>Leaving Destination</v>
          </cell>
          <cell r="AB1" t="str">
            <v>Program Type</v>
          </cell>
          <cell r="AI1" t="str">
            <v>LOS</v>
          </cell>
          <cell r="AK1" t="str">
            <v>Pgm Type</v>
          </cell>
          <cell r="AO1">
            <v>39750</v>
          </cell>
          <cell r="AP1">
            <v>39841</v>
          </cell>
          <cell r="AQ1">
            <v>39932</v>
          </cell>
          <cell r="AS1">
            <v>39994</v>
          </cell>
          <cell r="BI1" t="str">
            <v>In Client?</v>
          </cell>
          <cell r="BJ1" t="str">
            <v>Last Episode Record?</v>
          </cell>
          <cell r="BN1" t="str">
            <v>Adult,  Child, or Unknown?</v>
          </cell>
          <cell r="CJ1" t="str">
            <v>Household Type</v>
          </cell>
          <cell r="CK1" t="str">
            <v>Exit Status</v>
          </cell>
          <cell r="CL1" t="str">
            <v>Total Entry Income</v>
          </cell>
          <cell r="CM1" t="str">
            <v>Most Recent Income</v>
          </cell>
          <cell r="CO1" t="str">
            <v>Most Recent Income &lt;, &gt;, =</v>
          </cell>
          <cell r="CP1" t="str">
            <v>Cash Income Status at Report End</v>
          </cell>
        </row>
        <row r="2">
          <cell r="B2">
            <v>31</v>
          </cell>
          <cell r="F2">
            <v>39892</v>
          </cell>
          <cell r="H2">
            <v>0</v>
          </cell>
          <cell r="I2">
            <v>0</v>
          </cell>
          <cell r="J2">
            <v>13</v>
          </cell>
          <cell r="L2">
            <v>45232</v>
          </cell>
          <cell r="M2">
            <v>1</v>
          </cell>
          <cell r="N2">
            <v>1</v>
          </cell>
          <cell r="O2">
            <v>3</v>
          </cell>
          <cell r="Q2">
            <v>12</v>
          </cell>
          <cell r="AB2">
            <v>1</v>
          </cell>
          <cell r="AI2">
            <v>77</v>
          </cell>
          <cell r="AK2" t="str">
            <v>ES-FAM</v>
          </cell>
          <cell r="AO2">
            <v>0</v>
          </cell>
          <cell r="AP2">
            <v>1</v>
          </cell>
          <cell r="AQ2">
            <v>0</v>
          </cell>
          <cell r="AS2">
            <v>1</v>
          </cell>
          <cell r="BI2">
            <v>1</v>
          </cell>
          <cell r="BJ2" t="str">
            <v>Y</v>
          </cell>
          <cell r="BN2" t="str">
            <v>Adult</v>
          </cell>
          <cell r="CJ2" t="str">
            <v>HHNoKids</v>
          </cell>
          <cell r="CK2" t="str">
            <v>S</v>
          </cell>
          <cell r="CL2">
            <v>0</v>
          </cell>
          <cell r="CM2">
            <v>7</v>
          </cell>
          <cell r="CO2" t="str">
            <v>eq</v>
          </cell>
          <cell r="CP2" t="str">
            <v>None</v>
          </cell>
        </row>
        <row r="3">
          <cell r="B3">
            <v>31</v>
          </cell>
          <cell r="F3">
            <v>39753</v>
          </cell>
          <cell r="H3">
            <v>0</v>
          </cell>
          <cell r="I3">
            <v>0</v>
          </cell>
          <cell r="J3">
            <v>12</v>
          </cell>
          <cell r="L3">
            <v>0</v>
          </cell>
          <cell r="N3">
            <v>1</v>
          </cell>
          <cell r="Q3">
            <v>12</v>
          </cell>
          <cell r="AB3">
            <v>1</v>
          </cell>
          <cell r="AI3">
            <v>-60</v>
          </cell>
          <cell r="AK3" t="str">
            <v>ES-FAM</v>
          </cell>
          <cell r="AO3">
            <v>1</v>
          </cell>
          <cell r="AP3">
            <v>0</v>
          </cell>
          <cell r="AQ3">
            <v>0</v>
          </cell>
          <cell r="AS3">
            <v>1</v>
          </cell>
          <cell r="BI3">
            <v>1</v>
          </cell>
          <cell r="BJ3" t="str">
            <v>Y</v>
          </cell>
          <cell r="BN3" t="str">
            <v>Adult</v>
          </cell>
          <cell r="CJ3" t="e">
            <v>#N/A</v>
          </cell>
        </row>
        <row r="4">
          <cell r="B4">
            <v>31</v>
          </cell>
          <cell r="F4">
            <v>39892</v>
          </cell>
          <cell r="H4">
            <v>0</v>
          </cell>
          <cell r="I4">
            <v>0</v>
          </cell>
          <cell r="J4">
            <v>13</v>
          </cell>
          <cell r="L4">
            <v>45232</v>
          </cell>
          <cell r="M4">
            <v>1</v>
          </cell>
          <cell r="N4">
            <v>1</v>
          </cell>
          <cell r="O4">
            <v>3</v>
          </cell>
          <cell r="Q4">
            <v>12</v>
          </cell>
          <cell r="AB4">
            <v>1</v>
          </cell>
          <cell r="AI4">
            <v>77</v>
          </cell>
          <cell r="AK4" t="str">
            <v>ES-FAM</v>
          </cell>
          <cell r="AO4">
            <v>0</v>
          </cell>
          <cell r="AP4">
            <v>1</v>
          </cell>
          <cell r="AQ4">
            <v>0</v>
          </cell>
          <cell r="AS4">
            <v>1</v>
          </cell>
          <cell r="BI4">
            <v>1</v>
          </cell>
          <cell r="BJ4" t="str">
            <v>Y</v>
          </cell>
          <cell r="BN4" t="str">
            <v>Child</v>
          </cell>
          <cell r="CJ4" t="str">
            <v>HHKidsOnly</v>
          </cell>
        </row>
        <row r="5">
          <cell r="B5">
            <v>31</v>
          </cell>
          <cell r="F5">
            <v>39692</v>
          </cell>
          <cell r="H5">
            <v>0</v>
          </cell>
          <cell r="I5">
            <v>0</v>
          </cell>
          <cell r="J5">
            <v>12</v>
          </cell>
          <cell r="L5">
            <v>0</v>
          </cell>
          <cell r="N5">
            <v>1</v>
          </cell>
          <cell r="Q5">
            <v>12</v>
          </cell>
          <cell r="AB5">
            <v>1</v>
          </cell>
          <cell r="AI5">
            <v>-121</v>
          </cell>
          <cell r="AK5" t="str">
            <v>ES-FAM</v>
          </cell>
          <cell r="AO5">
            <v>0</v>
          </cell>
          <cell r="AP5">
            <v>0</v>
          </cell>
          <cell r="AQ5">
            <v>0</v>
          </cell>
          <cell r="AS5">
            <v>1</v>
          </cell>
          <cell r="BI5">
            <v>1</v>
          </cell>
          <cell r="BJ5" t="str">
            <v>Y</v>
          </cell>
          <cell r="BN5" t="str">
            <v>Child</v>
          </cell>
          <cell r="CJ5" t="e">
            <v>#N/A</v>
          </cell>
        </row>
        <row r="6">
          <cell r="B6">
            <v>31</v>
          </cell>
          <cell r="F6">
            <v>39892</v>
          </cell>
          <cell r="H6">
            <v>0</v>
          </cell>
          <cell r="I6">
            <v>0</v>
          </cell>
          <cell r="J6">
            <v>13</v>
          </cell>
          <cell r="L6">
            <v>45232</v>
          </cell>
          <cell r="M6">
            <v>1</v>
          </cell>
          <cell r="N6">
            <v>1</v>
          </cell>
          <cell r="O6">
            <v>3</v>
          </cell>
          <cell r="Q6">
            <v>12</v>
          </cell>
          <cell r="AB6">
            <v>1</v>
          </cell>
          <cell r="AI6">
            <v>77</v>
          </cell>
          <cell r="AK6" t="str">
            <v>ES-FAM</v>
          </cell>
          <cell r="AO6">
            <v>0</v>
          </cell>
          <cell r="AP6">
            <v>1</v>
          </cell>
          <cell r="AQ6">
            <v>0</v>
          </cell>
          <cell r="AS6">
            <v>1</v>
          </cell>
          <cell r="BI6">
            <v>1</v>
          </cell>
          <cell r="BJ6" t="str">
            <v>Y</v>
          </cell>
          <cell r="BN6" t="str">
            <v>Child</v>
          </cell>
          <cell r="CJ6" t="str">
            <v>HHKidsOnly</v>
          </cell>
        </row>
        <row r="7">
          <cell r="B7">
            <v>31</v>
          </cell>
          <cell r="F7">
            <v>39892</v>
          </cell>
          <cell r="H7">
            <v>0</v>
          </cell>
          <cell r="I7">
            <v>0</v>
          </cell>
          <cell r="J7">
            <v>13</v>
          </cell>
          <cell r="L7">
            <v>45232</v>
          </cell>
          <cell r="M7">
            <v>1</v>
          </cell>
          <cell r="N7">
            <v>1</v>
          </cell>
          <cell r="O7">
            <v>3</v>
          </cell>
          <cell r="Q7">
            <v>12</v>
          </cell>
          <cell r="AB7">
            <v>1</v>
          </cell>
          <cell r="AI7">
            <v>77</v>
          </cell>
          <cell r="AK7" t="str">
            <v>ES-FAM</v>
          </cell>
          <cell r="AO7">
            <v>0</v>
          </cell>
          <cell r="AP7">
            <v>1</v>
          </cell>
          <cell r="AQ7">
            <v>0</v>
          </cell>
          <cell r="AS7">
            <v>1</v>
          </cell>
          <cell r="BI7">
            <v>1</v>
          </cell>
          <cell r="BJ7" t="str">
            <v>Y</v>
          </cell>
          <cell r="BN7" t="str">
            <v>Child</v>
          </cell>
          <cell r="CJ7" t="str">
            <v>HHKidsOnly</v>
          </cell>
        </row>
        <row r="8">
          <cell r="B8">
            <v>31</v>
          </cell>
          <cell r="F8">
            <v>39848</v>
          </cell>
          <cell r="H8">
            <v>0</v>
          </cell>
          <cell r="I8">
            <v>1</v>
          </cell>
          <cell r="J8">
            <v>6</v>
          </cell>
          <cell r="L8">
            <v>45219</v>
          </cell>
          <cell r="M8">
            <v>1</v>
          </cell>
          <cell r="N8">
            <v>1</v>
          </cell>
          <cell r="O8">
            <v>8</v>
          </cell>
          <cell r="Q8">
            <v>8</v>
          </cell>
          <cell r="AB8">
            <v>1</v>
          </cell>
          <cell r="AI8">
            <v>19</v>
          </cell>
          <cell r="AK8" t="str">
            <v>ES-IND</v>
          </cell>
          <cell r="AO8">
            <v>0</v>
          </cell>
          <cell r="AP8">
            <v>1</v>
          </cell>
          <cell r="AQ8">
            <v>0</v>
          </cell>
          <cell r="AS8">
            <v>1</v>
          </cell>
          <cell r="BI8">
            <v>1</v>
          </cell>
          <cell r="BJ8" t="str">
            <v>Y</v>
          </cell>
          <cell r="BN8" t="str">
            <v>Adult</v>
          </cell>
          <cell r="CJ8" t="str">
            <v>HHNoKids</v>
          </cell>
        </row>
        <row r="9">
          <cell r="B9">
            <v>31</v>
          </cell>
          <cell r="F9">
            <v>39919</v>
          </cell>
          <cell r="H9">
            <v>0</v>
          </cell>
          <cell r="I9">
            <v>1</v>
          </cell>
          <cell r="J9">
            <v>14</v>
          </cell>
          <cell r="L9">
            <v>45215</v>
          </cell>
          <cell r="M9">
            <v>1</v>
          </cell>
          <cell r="N9">
            <v>1</v>
          </cell>
          <cell r="O9">
            <v>4</v>
          </cell>
          <cell r="Q9">
            <v>2</v>
          </cell>
          <cell r="AB9">
            <v>1</v>
          </cell>
          <cell r="AI9">
            <v>35</v>
          </cell>
          <cell r="AK9" t="str">
            <v>ES-FAM</v>
          </cell>
          <cell r="AO9">
            <v>0</v>
          </cell>
          <cell r="AP9">
            <v>0</v>
          </cell>
          <cell r="AQ9">
            <v>0</v>
          </cell>
          <cell r="AS9">
            <v>1</v>
          </cell>
          <cell r="BI9">
            <v>1</v>
          </cell>
          <cell r="BJ9" t="str">
            <v>Y</v>
          </cell>
          <cell r="BN9" t="str">
            <v>Child</v>
          </cell>
          <cell r="CJ9" t="str">
            <v>HHKidsOnly</v>
          </cell>
        </row>
        <row r="10">
          <cell r="B10">
            <v>31</v>
          </cell>
          <cell r="H10">
            <v>1</v>
          </cell>
          <cell r="J10">
            <v>1</v>
          </cell>
          <cell r="L10">
            <v>45238</v>
          </cell>
          <cell r="M10">
            <v>1</v>
          </cell>
          <cell r="N10">
            <v>3</v>
          </cell>
          <cell r="AB10">
            <v>1</v>
          </cell>
          <cell r="AI10">
            <v>152</v>
          </cell>
          <cell r="AK10" t="str">
            <v>ES-IND</v>
          </cell>
          <cell r="AO10">
            <v>0</v>
          </cell>
          <cell r="AP10">
            <v>0</v>
          </cell>
          <cell r="AQ10">
            <v>0</v>
          </cell>
          <cell r="AS10">
            <v>0</v>
          </cell>
          <cell r="BI10">
            <v>1</v>
          </cell>
          <cell r="BJ10" t="str">
            <v>Y</v>
          </cell>
          <cell r="BN10" t="str">
            <v>Adult</v>
          </cell>
          <cell r="CJ10" t="str">
            <v>HHNoKids</v>
          </cell>
        </row>
        <row r="11">
          <cell r="B11">
            <v>31</v>
          </cell>
          <cell r="F11">
            <v>40097</v>
          </cell>
          <cell r="H11">
            <v>1</v>
          </cell>
          <cell r="I11">
            <v>1</v>
          </cell>
          <cell r="J11">
            <v>3</v>
          </cell>
          <cell r="L11">
            <v>45242</v>
          </cell>
          <cell r="M11">
            <v>1</v>
          </cell>
          <cell r="N11">
            <v>2</v>
          </cell>
          <cell r="O11">
            <v>9</v>
          </cell>
          <cell r="Q11">
            <v>8</v>
          </cell>
          <cell r="AB11">
            <v>1</v>
          </cell>
          <cell r="AI11">
            <v>131</v>
          </cell>
          <cell r="AK11" t="str">
            <v>ES-IND</v>
          </cell>
          <cell r="AO11">
            <v>0</v>
          </cell>
          <cell r="AP11">
            <v>0</v>
          </cell>
          <cell r="AQ11">
            <v>0</v>
          </cell>
          <cell r="AS11">
            <v>1</v>
          </cell>
          <cell r="BI11">
            <v>1</v>
          </cell>
          <cell r="BJ11" t="str">
            <v>Y</v>
          </cell>
          <cell r="BN11" t="str">
            <v>Adult</v>
          </cell>
          <cell r="CJ11" t="str">
            <v>HHNoKids</v>
          </cell>
        </row>
        <row r="12">
          <cell r="B12">
            <v>31</v>
          </cell>
          <cell r="F12">
            <v>39992</v>
          </cell>
          <cell r="H12">
            <v>0</v>
          </cell>
          <cell r="I12">
            <v>1</v>
          </cell>
          <cell r="J12">
            <v>22</v>
          </cell>
          <cell r="L12">
            <v>45215</v>
          </cell>
          <cell r="M12">
            <v>1</v>
          </cell>
          <cell r="N12">
            <v>2</v>
          </cell>
          <cell r="O12">
            <v>4</v>
          </cell>
          <cell r="Q12">
            <v>22</v>
          </cell>
          <cell r="AB12">
            <v>1</v>
          </cell>
          <cell r="AI12">
            <v>104</v>
          </cell>
          <cell r="AK12" t="str">
            <v>ES-IND</v>
          </cell>
          <cell r="AO12">
            <v>0</v>
          </cell>
          <cell r="AP12">
            <v>0</v>
          </cell>
          <cell r="AQ12">
            <v>1</v>
          </cell>
          <cell r="AS12">
            <v>1</v>
          </cell>
          <cell r="BI12">
            <v>1</v>
          </cell>
          <cell r="BJ12" t="str">
            <v>Y</v>
          </cell>
          <cell r="BN12" t="str">
            <v>Adult</v>
          </cell>
          <cell r="CJ12" t="str">
            <v>HHNoKids</v>
          </cell>
        </row>
        <row r="13">
          <cell r="B13">
            <v>31</v>
          </cell>
          <cell r="F13">
            <v>39791</v>
          </cell>
          <cell r="H13">
            <v>0</v>
          </cell>
          <cell r="I13">
            <v>1</v>
          </cell>
          <cell r="J13">
            <v>1</v>
          </cell>
          <cell r="L13">
            <v>48206</v>
          </cell>
          <cell r="M13">
            <v>1</v>
          </cell>
          <cell r="N13">
            <v>1</v>
          </cell>
          <cell r="Q13">
            <v>3</v>
          </cell>
          <cell r="AB13">
            <v>1</v>
          </cell>
          <cell r="AI13">
            <v>-22</v>
          </cell>
          <cell r="AK13" t="str">
            <v>ES-IND</v>
          </cell>
          <cell r="AO13">
            <v>1</v>
          </cell>
          <cell r="AP13">
            <v>0</v>
          </cell>
          <cell r="AQ13">
            <v>0</v>
          </cell>
          <cell r="AS13">
            <v>1</v>
          </cell>
          <cell r="BI13">
            <v>1</v>
          </cell>
          <cell r="BJ13" t="str">
            <v>Y</v>
          </cell>
          <cell r="BN13" t="str">
            <v>Adult</v>
          </cell>
          <cell r="CJ13" t="e">
            <v>#N/A</v>
          </cell>
        </row>
        <row r="14">
          <cell r="B14">
            <v>31</v>
          </cell>
          <cell r="F14">
            <v>40130</v>
          </cell>
          <cell r="H14">
            <v>0</v>
          </cell>
          <cell r="I14">
            <v>0</v>
          </cell>
          <cell r="J14">
            <v>20</v>
          </cell>
          <cell r="L14">
            <v>45229</v>
          </cell>
          <cell r="M14">
            <v>1</v>
          </cell>
          <cell r="N14">
            <v>2</v>
          </cell>
          <cell r="O14">
            <v>4</v>
          </cell>
          <cell r="Q14">
            <v>20</v>
          </cell>
          <cell r="AB14">
            <v>1</v>
          </cell>
          <cell r="AI14">
            <v>85</v>
          </cell>
          <cell r="AK14" t="str">
            <v>ES-FAM</v>
          </cell>
          <cell r="AO14">
            <v>0</v>
          </cell>
          <cell r="AP14">
            <v>0</v>
          </cell>
          <cell r="AQ14">
            <v>0</v>
          </cell>
          <cell r="AS14">
            <v>0</v>
          </cell>
          <cell r="BI14">
            <v>1</v>
          </cell>
          <cell r="BJ14" t="str">
            <v>Y</v>
          </cell>
          <cell r="BN14" t="str">
            <v>Adult</v>
          </cell>
          <cell r="CJ14" t="str">
            <v>HHNoKids</v>
          </cell>
        </row>
        <row r="15">
          <cell r="B15">
            <v>31</v>
          </cell>
          <cell r="F15">
            <v>40130</v>
          </cell>
          <cell r="H15">
            <v>0</v>
          </cell>
          <cell r="I15">
            <v>0</v>
          </cell>
          <cell r="J15">
            <v>20</v>
          </cell>
          <cell r="L15">
            <v>45229</v>
          </cell>
          <cell r="M15">
            <v>1</v>
          </cell>
          <cell r="N15">
            <v>2</v>
          </cell>
          <cell r="O15">
            <v>4</v>
          </cell>
          <cell r="Q15">
            <v>20</v>
          </cell>
          <cell r="AB15">
            <v>1</v>
          </cell>
          <cell r="AI15">
            <v>85</v>
          </cell>
          <cell r="AK15" t="str">
            <v>ES-FAM</v>
          </cell>
          <cell r="AO15">
            <v>0</v>
          </cell>
          <cell r="AP15">
            <v>0</v>
          </cell>
          <cell r="AQ15">
            <v>0</v>
          </cell>
          <cell r="AS15">
            <v>0</v>
          </cell>
          <cell r="BI15">
            <v>1</v>
          </cell>
          <cell r="BJ15" t="str">
            <v>Y</v>
          </cell>
          <cell r="BN15" t="str">
            <v>Child</v>
          </cell>
          <cell r="CJ15" t="str">
            <v>HHKidsOnly</v>
          </cell>
        </row>
        <row r="16">
          <cell r="B16">
            <v>31</v>
          </cell>
          <cell r="F16">
            <v>39811</v>
          </cell>
          <cell r="H16">
            <v>0</v>
          </cell>
          <cell r="I16">
            <v>1</v>
          </cell>
          <cell r="J16">
            <v>1</v>
          </cell>
          <cell r="L16">
            <v>45215</v>
          </cell>
          <cell r="M16">
            <v>1</v>
          </cell>
          <cell r="N16">
            <v>1</v>
          </cell>
          <cell r="Q16">
            <v>3</v>
          </cell>
          <cell r="AB16">
            <v>1</v>
          </cell>
          <cell r="AI16">
            <v>-2</v>
          </cell>
          <cell r="AK16" t="str">
            <v>ES-IND</v>
          </cell>
          <cell r="AO16">
            <v>1</v>
          </cell>
          <cell r="AP16">
            <v>0</v>
          </cell>
          <cell r="AQ16">
            <v>0</v>
          </cell>
          <cell r="AS16">
            <v>1</v>
          </cell>
          <cell r="BI16">
            <v>1</v>
          </cell>
          <cell r="BJ16" t="str">
            <v>Y</v>
          </cell>
          <cell r="BN16" t="str">
            <v>Adult</v>
          </cell>
          <cell r="CJ16" t="e">
            <v>#N/A</v>
          </cell>
        </row>
        <row r="17">
          <cell r="B17">
            <v>31</v>
          </cell>
          <cell r="F17">
            <v>39799</v>
          </cell>
          <cell r="H17">
            <v>0</v>
          </cell>
          <cell r="I17">
            <v>0</v>
          </cell>
          <cell r="J17">
            <v>22</v>
          </cell>
          <cell r="L17">
            <v>45223</v>
          </cell>
          <cell r="M17">
            <v>1</v>
          </cell>
          <cell r="N17">
            <v>1</v>
          </cell>
          <cell r="Q17">
            <v>20</v>
          </cell>
          <cell r="AB17">
            <v>1</v>
          </cell>
          <cell r="AI17">
            <v>-14</v>
          </cell>
          <cell r="AK17" t="str">
            <v>ES-FAM</v>
          </cell>
          <cell r="AO17">
            <v>0</v>
          </cell>
          <cell r="AP17">
            <v>0</v>
          </cell>
          <cell r="AQ17">
            <v>0</v>
          </cell>
          <cell r="AS17">
            <v>1</v>
          </cell>
          <cell r="BI17">
            <v>1</v>
          </cell>
          <cell r="BJ17" t="str">
            <v>Y</v>
          </cell>
          <cell r="BN17" t="str">
            <v>Adult</v>
          </cell>
          <cell r="CJ17" t="e">
            <v>#N/A</v>
          </cell>
        </row>
        <row r="18">
          <cell r="B18">
            <v>31</v>
          </cell>
          <cell r="F18">
            <v>39799</v>
          </cell>
          <cell r="H18">
            <v>0</v>
          </cell>
          <cell r="I18">
            <v>0</v>
          </cell>
          <cell r="J18">
            <v>22</v>
          </cell>
          <cell r="L18">
            <v>45223</v>
          </cell>
          <cell r="M18">
            <v>1</v>
          </cell>
          <cell r="N18">
            <v>1</v>
          </cell>
          <cell r="Q18">
            <v>20</v>
          </cell>
          <cell r="AB18">
            <v>1</v>
          </cell>
          <cell r="AI18">
            <v>-14</v>
          </cell>
          <cell r="AK18" t="str">
            <v>ES-FAM</v>
          </cell>
          <cell r="AO18">
            <v>0</v>
          </cell>
          <cell r="AP18">
            <v>0</v>
          </cell>
          <cell r="AQ18">
            <v>0</v>
          </cell>
          <cell r="AS18">
            <v>1</v>
          </cell>
          <cell r="BI18">
            <v>1</v>
          </cell>
          <cell r="BJ18" t="str">
            <v>Y</v>
          </cell>
          <cell r="BN18" t="str">
            <v>Child</v>
          </cell>
          <cell r="CJ18" t="e">
            <v>#N/A</v>
          </cell>
        </row>
        <row r="19">
          <cell r="B19">
            <v>31</v>
          </cell>
          <cell r="F19">
            <v>39799</v>
          </cell>
          <cell r="H19">
            <v>0</v>
          </cell>
          <cell r="I19">
            <v>0</v>
          </cell>
          <cell r="J19">
            <v>22</v>
          </cell>
          <cell r="L19">
            <v>45223</v>
          </cell>
          <cell r="M19">
            <v>1</v>
          </cell>
          <cell r="N19">
            <v>1</v>
          </cell>
          <cell r="Q19">
            <v>20</v>
          </cell>
          <cell r="AB19">
            <v>1</v>
          </cell>
          <cell r="AI19">
            <v>-14</v>
          </cell>
          <cell r="AK19" t="str">
            <v>ES-FAM</v>
          </cell>
          <cell r="AO19">
            <v>0</v>
          </cell>
          <cell r="AP19">
            <v>0</v>
          </cell>
          <cell r="AQ19">
            <v>0</v>
          </cell>
          <cell r="AS19">
            <v>1</v>
          </cell>
          <cell r="BI19">
            <v>1</v>
          </cell>
          <cell r="BJ19" t="str">
            <v>Y</v>
          </cell>
          <cell r="BN19" t="str">
            <v>Child</v>
          </cell>
          <cell r="CJ19" t="e">
            <v>#N/A</v>
          </cell>
        </row>
        <row r="20">
          <cell r="B20">
            <v>31</v>
          </cell>
          <cell r="F20">
            <v>40026</v>
          </cell>
          <cell r="H20">
            <v>0</v>
          </cell>
          <cell r="I20">
            <v>1</v>
          </cell>
          <cell r="J20">
            <v>16</v>
          </cell>
          <cell r="L20">
            <v>63108</v>
          </cell>
          <cell r="M20">
            <v>1</v>
          </cell>
          <cell r="N20">
            <v>1</v>
          </cell>
          <cell r="Q20">
            <v>5</v>
          </cell>
          <cell r="AB20">
            <v>1</v>
          </cell>
          <cell r="AI20">
            <v>89</v>
          </cell>
          <cell r="AK20" t="str">
            <v>ES-IND</v>
          </cell>
          <cell r="AO20">
            <v>0</v>
          </cell>
          <cell r="AP20">
            <v>0</v>
          </cell>
          <cell r="AQ20">
            <v>0</v>
          </cell>
          <cell r="AS20">
            <v>1</v>
          </cell>
          <cell r="BI20">
            <v>1</v>
          </cell>
          <cell r="BJ20" t="str">
            <v>Y</v>
          </cell>
          <cell r="BN20" t="str">
            <v>Adult</v>
          </cell>
          <cell r="CJ20" t="str">
            <v>HHNoKids</v>
          </cell>
        </row>
        <row r="21">
          <cell r="B21">
            <v>31</v>
          </cell>
          <cell r="F21">
            <v>39800</v>
          </cell>
          <cell r="H21">
            <v>0</v>
          </cell>
          <cell r="I21">
            <v>1</v>
          </cell>
          <cell r="J21">
            <v>1</v>
          </cell>
          <cell r="L21">
            <v>45231</v>
          </cell>
          <cell r="M21">
            <v>1</v>
          </cell>
          <cell r="N21">
            <v>1</v>
          </cell>
          <cell r="Q21">
            <v>13</v>
          </cell>
          <cell r="AB21">
            <v>1</v>
          </cell>
          <cell r="AI21">
            <v>-13</v>
          </cell>
          <cell r="AK21" t="str">
            <v>ES-IND</v>
          </cell>
          <cell r="AO21">
            <v>0</v>
          </cell>
          <cell r="AP21">
            <v>0</v>
          </cell>
          <cell r="AQ21">
            <v>0</v>
          </cell>
          <cell r="AS21">
            <v>1</v>
          </cell>
          <cell r="BI21">
            <v>1</v>
          </cell>
          <cell r="BJ21" t="str">
            <v>Y</v>
          </cell>
          <cell r="BN21" t="str">
            <v>Adult</v>
          </cell>
          <cell r="CJ21" t="e">
            <v>#N/A</v>
          </cell>
        </row>
        <row r="22">
          <cell r="B22">
            <v>31</v>
          </cell>
          <cell r="F22">
            <v>39729</v>
          </cell>
          <cell r="H22">
            <v>0</v>
          </cell>
          <cell r="I22">
            <v>1</v>
          </cell>
          <cell r="J22">
            <v>1</v>
          </cell>
          <cell r="L22">
            <v>38114</v>
          </cell>
          <cell r="M22">
            <v>1</v>
          </cell>
          <cell r="N22">
            <v>1</v>
          </cell>
          <cell r="Q22">
            <v>10</v>
          </cell>
          <cell r="AB22">
            <v>1</v>
          </cell>
          <cell r="AI22">
            <v>-84</v>
          </cell>
          <cell r="AK22" t="str">
            <v>ES-IND</v>
          </cell>
          <cell r="AO22">
            <v>0</v>
          </cell>
          <cell r="AP22">
            <v>0</v>
          </cell>
          <cell r="AQ22">
            <v>0</v>
          </cell>
          <cell r="AS22">
            <v>1</v>
          </cell>
          <cell r="BI22">
            <v>1</v>
          </cell>
          <cell r="BJ22" t="str">
            <v>Y</v>
          </cell>
          <cell r="BN22" t="str">
            <v>Adult</v>
          </cell>
          <cell r="CJ22" t="e">
            <v>#N/A</v>
          </cell>
        </row>
        <row r="23">
          <cell r="B23">
            <v>31</v>
          </cell>
          <cell r="F23">
            <v>40053</v>
          </cell>
          <cell r="H23">
            <v>0</v>
          </cell>
          <cell r="I23">
            <v>1</v>
          </cell>
          <cell r="J23">
            <v>1</v>
          </cell>
          <cell r="L23">
            <v>45223</v>
          </cell>
          <cell r="M23">
            <v>1</v>
          </cell>
          <cell r="N23">
            <v>1</v>
          </cell>
          <cell r="O23">
            <v>4</v>
          </cell>
          <cell r="Q23">
            <v>7</v>
          </cell>
          <cell r="AB23">
            <v>1</v>
          </cell>
          <cell r="AI23">
            <v>79</v>
          </cell>
          <cell r="AK23" t="str">
            <v>ES-IND</v>
          </cell>
          <cell r="AO23">
            <v>0</v>
          </cell>
          <cell r="AP23">
            <v>0</v>
          </cell>
          <cell r="AQ23">
            <v>0</v>
          </cell>
          <cell r="AS23">
            <v>1</v>
          </cell>
          <cell r="BI23">
            <v>1</v>
          </cell>
          <cell r="BJ23" t="str">
            <v>Y</v>
          </cell>
          <cell r="BN23" t="str">
            <v>Adult</v>
          </cell>
          <cell r="CJ23" t="str">
            <v>HHNoKids</v>
          </cell>
        </row>
        <row r="24">
          <cell r="B24">
            <v>31</v>
          </cell>
          <cell r="F24">
            <v>39715</v>
          </cell>
          <cell r="H24">
            <v>0</v>
          </cell>
          <cell r="I24">
            <v>1</v>
          </cell>
          <cell r="J24">
            <v>1</v>
          </cell>
          <cell r="L24">
            <v>45225</v>
          </cell>
          <cell r="M24">
            <v>1</v>
          </cell>
          <cell r="N24">
            <v>1</v>
          </cell>
          <cell r="Q24">
            <v>10</v>
          </cell>
          <cell r="AB24">
            <v>1</v>
          </cell>
          <cell r="AI24">
            <v>-98</v>
          </cell>
          <cell r="AK24" t="str">
            <v>ES-IND</v>
          </cell>
          <cell r="AO24">
            <v>0</v>
          </cell>
          <cell r="AP24">
            <v>0</v>
          </cell>
          <cell r="AQ24">
            <v>0</v>
          </cell>
          <cell r="AS24">
            <v>1</v>
          </cell>
          <cell r="BI24">
            <v>1</v>
          </cell>
          <cell r="BJ24" t="str">
            <v>Y</v>
          </cell>
          <cell r="BN24" t="str">
            <v>Adult</v>
          </cell>
          <cell r="CJ24" t="e">
            <v>#N/A</v>
          </cell>
        </row>
        <row r="25">
          <cell r="B25">
            <v>31</v>
          </cell>
          <cell r="F25">
            <v>40102</v>
          </cell>
          <cell r="H25">
            <v>0</v>
          </cell>
          <cell r="I25">
            <v>1</v>
          </cell>
          <cell r="J25">
            <v>4</v>
          </cell>
          <cell r="L25">
            <v>45210</v>
          </cell>
          <cell r="M25">
            <v>1</v>
          </cell>
          <cell r="N25">
            <v>1</v>
          </cell>
          <cell r="O25">
            <v>4</v>
          </cell>
          <cell r="Q25">
            <v>14</v>
          </cell>
          <cell r="AB25">
            <v>1</v>
          </cell>
          <cell r="AI25">
            <v>86</v>
          </cell>
          <cell r="AK25" t="str">
            <v>ES-IND</v>
          </cell>
          <cell r="AO25">
            <v>0</v>
          </cell>
          <cell r="AP25">
            <v>0</v>
          </cell>
          <cell r="AQ25">
            <v>0</v>
          </cell>
          <cell r="AS25">
            <v>0</v>
          </cell>
          <cell r="BI25">
            <v>1</v>
          </cell>
          <cell r="BJ25" t="str">
            <v>Y</v>
          </cell>
          <cell r="BN25" t="str">
            <v>Adult</v>
          </cell>
          <cell r="CJ25" t="str">
            <v>HHNoKids</v>
          </cell>
        </row>
        <row r="26">
          <cell r="B26">
            <v>31</v>
          </cell>
          <cell r="F26">
            <v>39692</v>
          </cell>
          <cell r="H26">
            <v>0</v>
          </cell>
          <cell r="I26">
            <v>0</v>
          </cell>
          <cell r="J26">
            <v>12</v>
          </cell>
          <cell r="L26">
            <v>0</v>
          </cell>
          <cell r="N26">
            <v>1</v>
          </cell>
          <cell r="Q26">
            <v>12</v>
          </cell>
          <cell r="AB26">
            <v>1</v>
          </cell>
          <cell r="AI26">
            <v>-121</v>
          </cell>
          <cell r="AK26" t="str">
            <v>ES-FAM</v>
          </cell>
          <cell r="AO26">
            <v>0</v>
          </cell>
          <cell r="AP26">
            <v>0</v>
          </cell>
          <cell r="AQ26">
            <v>0</v>
          </cell>
          <cell r="AS26">
            <v>1</v>
          </cell>
          <cell r="BI26">
            <v>1</v>
          </cell>
          <cell r="BJ26" t="str">
            <v>Y</v>
          </cell>
          <cell r="BN26" t="str">
            <v>Child</v>
          </cell>
          <cell r="CJ26" t="e">
            <v>#N/A</v>
          </cell>
        </row>
        <row r="27">
          <cell r="B27">
            <v>31</v>
          </cell>
          <cell r="F27">
            <v>40148</v>
          </cell>
          <cell r="H27">
            <v>0</v>
          </cell>
          <cell r="I27">
            <v>0</v>
          </cell>
          <cell r="J27">
            <v>22</v>
          </cell>
          <cell r="L27">
            <v>45225</v>
          </cell>
          <cell r="M27">
            <v>1</v>
          </cell>
          <cell r="N27">
            <v>3</v>
          </cell>
          <cell r="O27">
            <v>4</v>
          </cell>
          <cell r="Q27">
            <v>10</v>
          </cell>
          <cell r="AB27">
            <v>1</v>
          </cell>
          <cell r="AI27">
            <v>61</v>
          </cell>
          <cell r="AK27" t="str">
            <v>ES-FAM</v>
          </cell>
          <cell r="AO27">
            <v>0</v>
          </cell>
          <cell r="AP27">
            <v>0</v>
          </cell>
          <cell r="AQ27">
            <v>0</v>
          </cell>
          <cell r="AS27">
            <v>0</v>
          </cell>
          <cell r="BI27">
            <v>1</v>
          </cell>
          <cell r="BJ27" t="str">
            <v>Y</v>
          </cell>
          <cell r="BN27" t="str">
            <v>Child</v>
          </cell>
          <cell r="CJ27" t="str">
            <v>HHKidsOnly</v>
          </cell>
        </row>
        <row r="28">
          <cell r="B28">
            <v>31</v>
          </cell>
          <cell r="F28">
            <v>40147</v>
          </cell>
          <cell r="H28">
            <v>0</v>
          </cell>
          <cell r="I28">
            <v>1</v>
          </cell>
          <cell r="J28">
            <v>5</v>
          </cell>
          <cell r="L28">
            <v>45202</v>
          </cell>
          <cell r="M28">
            <v>1</v>
          </cell>
          <cell r="N28">
            <v>1</v>
          </cell>
          <cell r="Q28">
            <v>12</v>
          </cell>
          <cell r="AB28">
            <v>1</v>
          </cell>
          <cell r="AI28">
            <v>183</v>
          </cell>
          <cell r="AK28" t="str">
            <v>ES-IND</v>
          </cell>
          <cell r="AO28">
            <v>0</v>
          </cell>
          <cell r="AP28">
            <v>0</v>
          </cell>
          <cell r="AQ28">
            <v>0</v>
          </cell>
          <cell r="AS28">
            <v>1</v>
          </cell>
          <cell r="BI28">
            <v>1</v>
          </cell>
          <cell r="BJ28" t="str">
            <v>Y</v>
          </cell>
          <cell r="BN28" t="str">
            <v>Adult</v>
          </cell>
          <cell r="CJ28" t="str">
            <v>HHNoKids</v>
          </cell>
        </row>
        <row r="29">
          <cell r="B29">
            <v>31</v>
          </cell>
          <cell r="F29">
            <v>39892</v>
          </cell>
          <cell r="H29">
            <v>0</v>
          </cell>
          <cell r="I29">
            <v>1</v>
          </cell>
          <cell r="J29">
            <v>1</v>
          </cell>
          <cell r="L29">
            <v>45223</v>
          </cell>
          <cell r="M29">
            <v>1</v>
          </cell>
          <cell r="N29">
            <v>1</v>
          </cell>
          <cell r="O29">
            <v>4</v>
          </cell>
          <cell r="Q29">
            <v>16</v>
          </cell>
          <cell r="AB29">
            <v>1</v>
          </cell>
          <cell r="AI29">
            <v>47</v>
          </cell>
          <cell r="AK29" t="str">
            <v>ES-IND</v>
          </cell>
          <cell r="AO29">
            <v>0</v>
          </cell>
          <cell r="AP29">
            <v>0</v>
          </cell>
          <cell r="AQ29">
            <v>0</v>
          </cell>
          <cell r="AS29">
            <v>1</v>
          </cell>
          <cell r="BI29">
            <v>1</v>
          </cell>
          <cell r="BJ29" t="str">
            <v>Y</v>
          </cell>
          <cell r="BN29" t="str">
            <v>Child</v>
          </cell>
          <cell r="CJ29" t="str">
            <v>HHKidsOnly</v>
          </cell>
        </row>
        <row r="30">
          <cell r="B30">
            <v>31</v>
          </cell>
          <cell r="F30">
            <v>39698</v>
          </cell>
          <cell r="H30">
            <v>0</v>
          </cell>
          <cell r="I30">
            <v>1</v>
          </cell>
          <cell r="J30">
            <v>1</v>
          </cell>
          <cell r="L30">
            <v>45229</v>
          </cell>
          <cell r="M30">
            <v>1</v>
          </cell>
          <cell r="N30">
            <v>1</v>
          </cell>
          <cell r="Q30">
            <v>20</v>
          </cell>
          <cell r="AB30">
            <v>1</v>
          </cell>
          <cell r="AI30">
            <v>-115</v>
          </cell>
          <cell r="AK30" t="str">
            <v>ES-IND</v>
          </cell>
          <cell r="AO30">
            <v>0</v>
          </cell>
          <cell r="AP30">
            <v>0</v>
          </cell>
          <cell r="AQ30">
            <v>0</v>
          </cell>
          <cell r="AS30">
            <v>1</v>
          </cell>
          <cell r="BI30">
            <v>1</v>
          </cell>
          <cell r="BJ30" t="str">
            <v>Y</v>
          </cell>
          <cell r="BN30" t="str">
            <v>Adult</v>
          </cell>
          <cell r="CJ30" t="e">
            <v>#N/A</v>
          </cell>
        </row>
        <row r="31">
          <cell r="B31">
            <v>31</v>
          </cell>
          <cell r="F31">
            <v>40054</v>
          </cell>
          <cell r="H31">
            <v>0</v>
          </cell>
          <cell r="I31">
            <v>1</v>
          </cell>
          <cell r="J31">
            <v>20</v>
          </cell>
          <cell r="L31">
            <v>45215</v>
          </cell>
          <cell r="M31">
            <v>1</v>
          </cell>
          <cell r="N31">
            <v>2</v>
          </cell>
          <cell r="O31">
            <v>4</v>
          </cell>
          <cell r="Q31">
            <v>6</v>
          </cell>
          <cell r="AB31">
            <v>1</v>
          </cell>
          <cell r="AI31">
            <v>49</v>
          </cell>
          <cell r="AK31" t="str">
            <v>ES-IND</v>
          </cell>
          <cell r="AO31">
            <v>0</v>
          </cell>
          <cell r="AP31">
            <v>0</v>
          </cell>
          <cell r="AQ31">
            <v>0</v>
          </cell>
          <cell r="AS31">
            <v>0</v>
          </cell>
          <cell r="BI31">
            <v>1</v>
          </cell>
          <cell r="BJ31" t="str">
            <v>Y</v>
          </cell>
          <cell r="BN31" t="str">
            <v>Adult</v>
          </cell>
          <cell r="CJ31" t="str">
            <v>HHNoKids</v>
          </cell>
        </row>
        <row r="32">
          <cell r="B32">
            <v>31</v>
          </cell>
          <cell r="F32">
            <v>40246</v>
          </cell>
          <cell r="H32">
            <v>0</v>
          </cell>
          <cell r="J32">
            <v>22</v>
          </cell>
          <cell r="L32">
            <v>45232</v>
          </cell>
          <cell r="M32">
            <v>1</v>
          </cell>
          <cell r="N32">
            <v>2</v>
          </cell>
          <cell r="AB32">
            <v>1</v>
          </cell>
          <cell r="AI32">
            <v>84</v>
          </cell>
          <cell r="AK32" t="str">
            <v>ES-FAM</v>
          </cell>
          <cell r="AO32">
            <v>0</v>
          </cell>
          <cell r="AP32">
            <v>0</v>
          </cell>
          <cell r="AQ32">
            <v>0</v>
          </cell>
          <cell r="AS32">
            <v>0</v>
          </cell>
          <cell r="BI32">
            <v>1</v>
          </cell>
          <cell r="BJ32" t="str">
            <v>Y</v>
          </cell>
          <cell r="BN32" t="str">
            <v>Child</v>
          </cell>
          <cell r="CJ32" t="str">
            <v>HHKidsOnly</v>
          </cell>
        </row>
        <row r="33">
          <cell r="B33">
            <v>31</v>
          </cell>
          <cell r="F33">
            <v>39706</v>
          </cell>
          <cell r="H33">
            <v>0</v>
          </cell>
          <cell r="I33">
            <v>1</v>
          </cell>
          <cell r="J33">
            <v>1</v>
          </cell>
          <cell r="L33">
            <v>45202</v>
          </cell>
          <cell r="M33">
            <v>1</v>
          </cell>
          <cell r="N33">
            <v>1</v>
          </cell>
          <cell r="Q33">
            <v>3</v>
          </cell>
          <cell r="AB33">
            <v>1</v>
          </cell>
          <cell r="AI33">
            <v>-107</v>
          </cell>
          <cell r="AK33" t="str">
            <v>ES-IND</v>
          </cell>
          <cell r="AO33">
            <v>0</v>
          </cell>
          <cell r="AP33">
            <v>0</v>
          </cell>
          <cell r="AQ33">
            <v>0</v>
          </cell>
          <cell r="AS33">
            <v>1</v>
          </cell>
          <cell r="BI33">
            <v>1</v>
          </cell>
          <cell r="BJ33" t="str">
            <v>Y</v>
          </cell>
          <cell r="BN33" t="str">
            <v>Adult</v>
          </cell>
          <cell r="CJ33" t="e">
            <v>#N/A</v>
          </cell>
        </row>
        <row r="34">
          <cell r="B34">
            <v>31</v>
          </cell>
          <cell r="F34">
            <v>40191</v>
          </cell>
          <cell r="H34">
            <v>0</v>
          </cell>
          <cell r="J34">
            <v>22</v>
          </cell>
          <cell r="L34">
            <v>45214</v>
          </cell>
          <cell r="M34">
            <v>1</v>
          </cell>
          <cell r="N34">
            <v>2</v>
          </cell>
          <cell r="AB34">
            <v>1</v>
          </cell>
          <cell r="AI34">
            <v>81</v>
          </cell>
          <cell r="AK34" t="str">
            <v>ES-FAM</v>
          </cell>
          <cell r="AO34">
            <v>0</v>
          </cell>
          <cell r="AP34">
            <v>0</v>
          </cell>
          <cell r="AQ34">
            <v>0</v>
          </cell>
          <cell r="AS34">
            <v>0</v>
          </cell>
          <cell r="BI34">
            <v>1</v>
          </cell>
          <cell r="BJ34" t="str">
            <v>Y</v>
          </cell>
          <cell r="BN34" t="str">
            <v>Adult</v>
          </cell>
          <cell r="CJ34" t="str">
            <v>HHNoKids</v>
          </cell>
        </row>
        <row r="35">
          <cell r="B35">
            <v>31</v>
          </cell>
          <cell r="F35">
            <v>40191</v>
          </cell>
          <cell r="H35">
            <v>0</v>
          </cell>
          <cell r="J35">
            <v>22</v>
          </cell>
          <cell r="L35">
            <v>45214</v>
          </cell>
          <cell r="M35">
            <v>1</v>
          </cell>
          <cell r="N35">
            <v>2</v>
          </cell>
          <cell r="AB35">
            <v>1</v>
          </cell>
          <cell r="AI35">
            <v>81</v>
          </cell>
          <cell r="AK35" t="str">
            <v>ES-FAM</v>
          </cell>
          <cell r="AO35">
            <v>0</v>
          </cell>
          <cell r="AP35">
            <v>0</v>
          </cell>
          <cell r="AQ35">
            <v>0</v>
          </cell>
          <cell r="AS35">
            <v>0</v>
          </cell>
          <cell r="BI35">
            <v>1</v>
          </cell>
          <cell r="BJ35" t="str">
            <v>Y</v>
          </cell>
          <cell r="BN35" t="str">
            <v>Child</v>
          </cell>
          <cell r="CJ35" t="str">
            <v>HHKidsOnly</v>
          </cell>
        </row>
        <row r="36">
          <cell r="B36">
            <v>31</v>
          </cell>
          <cell r="F36">
            <v>40246</v>
          </cell>
          <cell r="H36">
            <v>0</v>
          </cell>
          <cell r="J36">
            <v>22</v>
          </cell>
          <cell r="L36">
            <v>45232</v>
          </cell>
          <cell r="M36">
            <v>1</v>
          </cell>
          <cell r="N36">
            <v>2</v>
          </cell>
          <cell r="AB36">
            <v>1</v>
          </cell>
          <cell r="AI36">
            <v>84</v>
          </cell>
          <cell r="AK36" t="str">
            <v>ES-FAM</v>
          </cell>
          <cell r="AO36">
            <v>0</v>
          </cell>
          <cell r="AP36">
            <v>0</v>
          </cell>
          <cell r="AQ36">
            <v>0</v>
          </cell>
          <cell r="AS36">
            <v>0</v>
          </cell>
          <cell r="BI36">
            <v>1</v>
          </cell>
          <cell r="BJ36" t="str">
            <v>Y</v>
          </cell>
          <cell r="BN36" t="str">
            <v>Adult</v>
          </cell>
          <cell r="CJ36" t="str">
            <v>HHNoKids</v>
          </cell>
        </row>
        <row r="37">
          <cell r="B37">
            <v>31</v>
          </cell>
          <cell r="F37">
            <v>40246</v>
          </cell>
          <cell r="H37">
            <v>0</v>
          </cell>
          <cell r="J37">
            <v>22</v>
          </cell>
          <cell r="L37">
            <v>45232</v>
          </cell>
          <cell r="M37">
            <v>1</v>
          </cell>
          <cell r="N37">
            <v>2</v>
          </cell>
          <cell r="AB37">
            <v>1</v>
          </cell>
          <cell r="AI37">
            <v>84</v>
          </cell>
          <cell r="AK37" t="str">
            <v>ES-FAM</v>
          </cell>
          <cell r="AO37">
            <v>0</v>
          </cell>
          <cell r="AP37">
            <v>0</v>
          </cell>
          <cell r="AQ37">
            <v>0</v>
          </cell>
          <cell r="AS37">
            <v>0</v>
          </cell>
          <cell r="BI37">
            <v>1</v>
          </cell>
          <cell r="BJ37" t="str">
            <v>Y</v>
          </cell>
          <cell r="BN37" t="str">
            <v>Child</v>
          </cell>
          <cell r="CJ37" t="str">
            <v>HHKidsOnly</v>
          </cell>
        </row>
        <row r="38">
          <cell r="B38">
            <v>31</v>
          </cell>
          <cell r="F38">
            <v>40246</v>
          </cell>
          <cell r="H38">
            <v>0</v>
          </cell>
          <cell r="J38">
            <v>22</v>
          </cell>
          <cell r="L38">
            <v>45232</v>
          </cell>
          <cell r="M38">
            <v>1</v>
          </cell>
          <cell r="N38">
            <v>2</v>
          </cell>
          <cell r="AB38">
            <v>1</v>
          </cell>
          <cell r="AI38">
            <v>84</v>
          </cell>
          <cell r="AK38" t="str">
            <v>ES-FAM</v>
          </cell>
          <cell r="AO38">
            <v>0</v>
          </cell>
          <cell r="AP38">
            <v>0</v>
          </cell>
          <cell r="AQ38">
            <v>0</v>
          </cell>
          <cell r="AS38">
            <v>0</v>
          </cell>
          <cell r="BI38">
            <v>1</v>
          </cell>
          <cell r="BJ38" t="str">
            <v>Y</v>
          </cell>
          <cell r="BN38" t="str">
            <v>Child</v>
          </cell>
          <cell r="CJ38" t="str">
            <v>HHKidsOnly</v>
          </cell>
        </row>
        <row r="39">
          <cell r="B39">
            <v>31</v>
          </cell>
          <cell r="F39">
            <v>40246</v>
          </cell>
          <cell r="H39">
            <v>0</v>
          </cell>
          <cell r="J39">
            <v>22</v>
          </cell>
          <cell r="L39">
            <v>45232</v>
          </cell>
          <cell r="M39">
            <v>1</v>
          </cell>
          <cell r="N39">
            <v>2</v>
          </cell>
          <cell r="AB39">
            <v>1</v>
          </cell>
          <cell r="AI39">
            <v>84</v>
          </cell>
          <cell r="AK39" t="str">
            <v>ES-FAM</v>
          </cell>
          <cell r="AO39">
            <v>0</v>
          </cell>
          <cell r="AP39">
            <v>0</v>
          </cell>
          <cell r="AQ39">
            <v>0</v>
          </cell>
          <cell r="AS39">
            <v>0</v>
          </cell>
          <cell r="BI39">
            <v>1</v>
          </cell>
          <cell r="BJ39" t="str">
            <v>Y</v>
          </cell>
          <cell r="BN39" t="str">
            <v>Child</v>
          </cell>
          <cell r="CJ39" t="str">
            <v>HHKidsOnly</v>
          </cell>
        </row>
        <row r="40">
          <cell r="B40">
            <v>31</v>
          </cell>
          <cell r="F40">
            <v>40246</v>
          </cell>
          <cell r="H40">
            <v>0</v>
          </cell>
          <cell r="J40">
            <v>22</v>
          </cell>
          <cell r="L40">
            <v>45232</v>
          </cell>
          <cell r="M40">
            <v>1</v>
          </cell>
          <cell r="N40">
            <v>2</v>
          </cell>
          <cell r="AB40">
            <v>1</v>
          </cell>
          <cell r="AI40">
            <v>84</v>
          </cell>
          <cell r="AK40" t="str">
            <v>ES-FAM</v>
          </cell>
          <cell r="AO40">
            <v>0</v>
          </cell>
          <cell r="AP40">
            <v>0</v>
          </cell>
          <cell r="AQ40">
            <v>0</v>
          </cell>
          <cell r="AS40">
            <v>0</v>
          </cell>
          <cell r="BI40">
            <v>1</v>
          </cell>
          <cell r="BJ40" t="str">
            <v>Y</v>
          </cell>
          <cell r="BN40" t="str">
            <v>Child</v>
          </cell>
          <cell r="CJ40" t="str">
            <v>HHKidsOnly</v>
          </cell>
        </row>
        <row r="41">
          <cell r="B41">
            <v>31</v>
          </cell>
          <cell r="F41">
            <v>40246</v>
          </cell>
          <cell r="H41">
            <v>0</v>
          </cell>
          <cell r="J41">
            <v>22</v>
          </cell>
          <cell r="L41">
            <v>45232</v>
          </cell>
          <cell r="M41">
            <v>1</v>
          </cell>
          <cell r="N41">
            <v>2</v>
          </cell>
          <cell r="AB41">
            <v>1</v>
          </cell>
          <cell r="AI41">
            <v>84</v>
          </cell>
          <cell r="AK41" t="str">
            <v>ES-FAM</v>
          </cell>
          <cell r="AO41">
            <v>0</v>
          </cell>
          <cell r="AP41">
            <v>0</v>
          </cell>
          <cell r="AQ41">
            <v>0</v>
          </cell>
          <cell r="AS41">
            <v>0</v>
          </cell>
          <cell r="BI41">
            <v>1</v>
          </cell>
          <cell r="BJ41" t="str">
            <v>Y</v>
          </cell>
          <cell r="BN41" t="str">
            <v>Child</v>
          </cell>
          <cell r="CJ41" t="str">
            <v>HHKidsOnly</v>
          </cell>
        </row>
        <row r="42">
          <cell r="B42">
            <v>31</v>
          </cell>
          <cell r="F42">
            <v>39769</v>
          </cell>
          <cell r="H42">
            <v>0</v>
          </cell>
          <cell r="I42">
            <v>1</v>
          </cell>
          <cell r="J42">
            <v>1</v>
          </cell>
          <cell r="L42">
            <v>21675</v>
          </cell>
          <cell r="M42">
            <v>1</v>
          </cell>
          <cell r="N42">
            <v>1</v>
          </cell>
          <cell r="Q42">
            <v>10</v>
          </cell>
          <cell r="AB42">
            <v>1</v>
          </cell>
          <cell r="AI42">
            <v>-44</v>
          </cell>
          <cell r="AK42" t="str">
            <v>ES-IND</v>
          </cell>
          <cell r="AO42">
            <v>1</v>
          </cell>
          <cell r="AP42">
            <v>0</v>
          </cell>
          <cell r="AQ42">
            <v>0</v>
          </cell>
          <cell r="AS42">
            <v>1</v>
          </cell>
          <cell r="BI42">
            <v>1</v>
          </cell>
          <cell r="BJ42" t="str">
            <v>Y</v>
          </cell>
          <cell r="BN42" t="str">
            <v>Adult</v>
          </cell>
          <cell r="CJ42" t="e">
            <v>#N/A</v>
          </cell>
        </row>
        <row r="43">
          <cell r="B43">
            <v>31</v>
          </cell>
          <cell r="F43">
            <v>39677</v>
          </cell>
          <cell r="H43">
            <v>0</v>
          </cell>
          <cell r="I43">
            <v>1</v>
          </cell>
          <cell r="J43">
            <v>1</v>
          </cell>
          <cell r="L43">
            <v>45225</v>
          </cell>
          <cell r="M43">
            <v>1</v>
          </cell>
          <cell r="N43">
            <v>1</v>
          </cell>
          <cell r="Q43">
            <v>10</v>
          </cell>
          <cell r="AB43">
            <v>1</v>
          </cell>
          <cell r="AI43">
            <v>-136</v>
          </cell>
          <cell r="AK43" t="str">
            <v>ES-IND</v>
          </cell>
          <cell r="AO43">
            <v>0</v>
          </cell>
          <cell r="AP43">
            <v>0</v>
          </cell>
          <cell r="AQ43">
            <v>0</v>
          </cell>
          <cell r="AS43">
            <v>1</v>
          </cell>
          <cell r="BI43">
            <v>1</v>
          </cell>
          <cell r="BJ43" t="str">
            <v>Y</v>
          </cell>
          <cell r="BN43" t="str">
            <v>Adult</v>
          </cell>
          <cell r="CJ43" t="e">
            <v>#N/A</v>
          </cell>
        </row>
        <row r="44">
          <cell r="B44">
            <v>31</v>
          </cell>
          <cell r="F44">
            <v>39780</v>
          </cell>
          <cell r="H44">
            <v>0</v>
          </cell>
          <cell r="I44">
            <v>1</v>
          </cell>
          <cell r="J44">
            <v>1</v>
          </cell>
          <cell r="L44">
            <v>45224</v>
          </cell>
          <cell r="M44">
            <v>1</v>
          </cell>
          <cell r="N44">
            <v>1</v>
          </cell>
          <cell r="Q44">
            <v>20</v>
          </cell>
          <cell r="AB44">
            <v>1</v>
          </cell>
          <cell r="AI44">
            <v>-33</v>
          </cell>
          <cell r="AK44" t="str">
            <v>ES-IND</v>
          </cell>
          <cell r="AO44">
            <v>1</v>
          </cell>
          <cell r="AP44">
            <v>0</v>
          </cell>
          <cell r="AQ44">
            <v>0</v>
          </cell>
          <cell r="AS44">
            <v>1</v>
          </cell>
          <cell r="BI44">
            <v>1</v>
          </cell>
          <cell r="BJ44" t="str">
            <v>Y</v>
          </cell>
          <cell r="BN44" t="str">
            <v>Adult</v>
          </cell>
          <cell r="CJ44" t="e">
            <v>#N/A</v>
          </cell>
        </row>
        <row r="45">
          <cell r="B45">
            <v>31</v>
          </cell>
          <cell r="F45">
            <v>39779</v>
          </cell>
          <cell r="H45">
            <v>0</v>
          </cell>
          <cell r="I45">
            <v>1</v>
          </cell>
          <cell r="J45">
            <v>1</v>
          </cell>
          <cell r="L45">
            <v>45210</v>
          </cell>
          <cell r="M45">
            <v>1</v>
          </cell>
          <cell r="N45">
            <v>1</v>
          </cell>
          <cell r="Q45">
            <v>23</v>
          </cell>
          <cell r="AB45">
            <v>1</v>
          </cell>
          <cell r="AI45">
            <v>-34</v>
          </cell>
          <cell r="AK45" t="str">
            <v>ES-IND</v>
          </cell>
          <cell r="AO45">
            <v>1</v>
          </cell>
          <cell r="AP45">
            <v>0</v>
          </cell>
          <cell r="AQ45">
            <v>0</v>
          </cell>
          <cell r="AS45">
            <v>1</v>
          </cell>
          <cell r="BI45">
            <v>1</v>
          </cell>
          <cell r="BJ45" t="str">
            <v>Y</v>
          </cell>
          <cell r="BN45" t="str">
            <v>Adult</v>
          </cell>
          <cell r="CJ45" t="e">
            <v>#N/A</v>
          </cell>
        </row>
        <row r="46">
          <cell r="B46">
            <v>31</v>
          </cell>
          <cell r="F46">
            <v>39692</v>
          </cell>
          <cell r="H46">
            <v>0</v>
          </cell>
          <cell r="I46">
            <v>0</v>
          </cell>
          <cell r="J46">
            <v>12</v>
          </cell>
          <cell r="L46">
            <v>0</v>
          </cell>
          <cell r="N46">
            <v>1</v>
          </cell>
          <cell r="Q46">
            <v>12</v>
          </cell>
          <cell r="AB46">
            <v>1</v>
          </cell>
          <cell r="AI46">
            <v>-121</v>
          </cell>
          <cell r="AK46" t="str">
            <v>ES-FAM</v>
          </cell>
          <cell r="AO46">
            <v>0</v>
          </cell>
          <cell r="AP46">
            <v>0</v>
          </cell>
          <cell r="AQ46">
            <v>0</v>
          </cell>
          <cell r="AS46">
            <v>1</v>
          </cell>
          <cell r="BI46">
            <v>1</v>
          </cell>
          <cell r="BJ46" t="str">
            <v>Y</v>
          </cell>
          <cell r="BN46" t="str">
            <v>Child</v>
          </cell>
          <cell r="CJ46" t="e">
            <v>#N/A</v>
          </cell>
        </row>
        <row r="47">
          <cell r="B47">
            <v>31</v>
          </cell>
          <cell r="F47">
            <v>39744</v>
          </cell>
          <cell r="H47">
            <v>0</v>
          </cell>
          <cell r="I47">
            <v>0</v>
          </cell>
          <cell r="J47">
            <v>1</v>
          </cell>
          <cell r="L47">
            <v>45239</v>
          </cell>
          <cell r="M47">
            <v>1</v>
          </cell>
          <cell r="N47">
            <v>1</v>
          </cell>
          <cell r="O47">
            <v>8</v>
          </cell>
          <cell r="Q47">
            <v>4</v>
          </cell>
          <cell r="AB47">
            <v>1</v>
          </cell>
          <cell r="AI47">
            <v>-69</v>
          </cell>
          <cell r="AK47" t="str">
            <v>ES-FAM</v>
          </cell>
          <cell r="AO47">
            <v>0</v>
          </cell>
          <cell r="AP47">
            <v>0</v>
          </cell>
          <cell r="AQ47">
            <v>0</v>
          </cell>
          <cell r="AS47">
            <v>1</v>
          </cell>
          <cell r="BI47">
            <v>1</v>
          </cell>
          <cell r="BJ47" t="str">
            <v>Y</v>
          </cell>
          <cell r="BN47" t="str">
            <v>Adult</v>
          </cell>
          <cell r="CJ47" t="e">
            <v>#N/A</v>
          </cell>
        </row>
        <row r="48">
          <cell r="B48">
            <v>31</v>
          </cell>
          <cell r="F48">
            <v>39714</v>
          </cell>
          <cell r="H48">
            <v>0</v>
          </cell>
          <cell r="I48">
            <v>0</v>
          </cell>
          <cell r="J48">
            <v>1</v>
          </cell>
          <cell r="L48">
            <v>45239</v>
          </cell>
          <cell r="M48">
            <v>1</v>
          </cell>
          <cell r="N48">
            <v>1</v>
          </cell>
          <cell r="Q48">
            <v>15</v>
          </cell>
          <cell r="AB48">
            <v>1</v>
          </cell>
          <cell r="AI48">
            <v>-99</v>
          </cell>
          <cell r="AK48" t="str">
            <v>ES-FAM</v>
          </cell>
          <cell r="AO48">
            <v>0</v>
          </cell>
          <cell r="AP48">
            <v>0</v>
          </cell>
          <cell r="AQ48">
            <v>0</v>
          </cell>
          <cell r="AS48">
            <v>1</v>
          </cell>
          <cell r="BI48">
            <v>1</v>
          </cell>
          <cell r="BJ48" t="str">
            <v>Y</v>
          </cell>
          <cell r="BN48" t="str">
            <v>Child</v>
          </cell>
          <cell r="CJ48" t="e">
            <v>#N/A</v>
          </cell>
        </row>
        <row r="49">
          <cell r="B49">
            <v>31</v>
          </cell>
          <cell r="F49">
            <v>39714</v>
          </cell>
          <cell r="H49">
            <v>0</v>
          </cell>
          <cell r="I49">
            <v>0</v>
          </cell>
          <cell r="J49">
            <v>1</v>
          </cell>
          <cell r="L49">
            <v>45239</v>
          </cell>
          <cell r="M49">
            <v>1</v>
          </cell>
          <cell r="N49">
            <v>1</v>
          </cell>
          <cell r="O49">
            <v>4</v>
          </cell>
          <cell r="Q49">
            <v>15</v>
          </cell>
          <cell r="AB49">
            <v>1</v>
          </cell>
          <cell r="AI49">
            <v>-99</v>
          </cell>
          <cell r="AK49" t="str">
            <v>ES-FAM</v>
          </cell>
          <cell r="AO49">
            <v>0</v>
          </cell>
          <cell r="AP49">
            <v>0</v>
          </cell>
          <cell r="AQ49">
            <v>0</v>
          </cell>
          <cell r="AS49">
            <v>1</v>
          </cell>
          <cell r="BI49">
            <v>1</v>
          </cell>
          <cell r="BJ49" t="str">
            <v>Y</v>
          </cell>
          <cell r="BN49" t="str">
            <v>Child</v>
          </cell>
          <cell r="CJ49" t="e">
            <v>#N/A</v>
          </cell>
        </row>
        <row r="50">
          <cell r="B50">
            <v>31</v>
          </cell>
          <cell r="F50">
            <v>39724</v>
          </cell>
          <cell r="H50">
            <v>0</v>
          </cell>
          <cell r="I50">
            <v>0</v>
          </cell>
          <cell r="J50">
            <v>16</v>
          </cell>
          <cell r="L50">
            <v>45229</v>
          </cell>
          <cell r="M50">
            <v>1</v>
          </cell>
          <cell r="N50">
            <v>1</v>
          </cell>
          <cell r="Q50">
            <v>3</v>
          </cell>
          <cell r="AB50">
            <v>1</v>
          </cell>
          <cell r="AI50">
            <v>-89</v>
          </cell>
          <cell r="AK50" t="str">
            <v>ES-FAM</v>
          </cell>
          <cell r="AO50">
            <v>0</v>
          </cell>
          <cell r="AP50">
            <v>0</v>
          </cell>
          <cell r="AQ50">
            <v>0</v>
          </cell>
          <cell r="AS50">
            <v>1</v>
          </cell>
          <cell r="BI50">
            <v>1</v>
          </cell>
          <cell r="BJ50" t="str">
            <v>Y</v>
          </cell>
          <cell r="BN50" t="str">
            <v>Child</v>
          </cell>
          <cell r="CJ50" t="e">
            <v>#N/A</v>
          </cell>
        </row>
        <row r="51">
          <cell r="B51">
            <v>31</v>
          </cell>
          <cell r="F51">
            <v>39724</v>
          </cell>
          <cell r="H51">
            <v>0</v>
          </cell>
          <cell r="I51">
            <v>0</v>
          </cell>
          <cell r="J51">
            <v>16</v>
          </cell>
          <cell r="L51">
            <v>45229</v>
          </cell>
          <cell r="M51">
            <v>1</v>
          </cell>
          <cell r="N51">
            <v>1</v>
          </cell>
          <cell r="Q51">
            <v>3</v>
          </cell>
          <cell r="AB51">
            <v>1</v>
          </cell>
          <cell r="AI51">
            <v>-89</v>
          </cell>
          <cell r="AK51" t="str">
            <v>ES-FAM</v>
          </cell>
          <cell r="AO51">
            <v>0</v>
          </cell>
          <cell r="AP51">
            <v>0</v>
          </cell>
          <cell r="AQ51">
            <v>0</v>
          </cell>
          <cell r="AS51">
            <v>1</v>
          </cell>
          <cell r="BI51">
            <v>1</v>
          </cell>
          <cell r="BJ51" t="str">
            <v>Y</v>
          </cell>
          <cell r="BN51" t="str">
            <v>Child</v>
          </cell>
          <cell r="CJ51" t="e">
            <v>#N/A</v>
          </cell>
        </row>
        <row r="52">
          <cell r="B52">
            <v>31</v>
          </cell>
          <cell r="F52">
            <v>39785</v>
          </cell>
          <cell r="H52">
            <v>0</v>
          </cell>
          <cell r="I52">
            <v>0</v>
          </cell>
          <cell r="J52">
            <v>16</v>
          </cell>
          <cell r="L52">
            <v>45229</v>
          </cell>
          <cell r="M52">
            <v>1</v>
          </cell>
          <cell r="N52">
            <v>1</v>
          </cell>
          <cell r="Q52">
            <v>3</v>
          </cell>
          <cell r="AB52">
            <v>1</v>
          </cell>
          <cell r="AI52">
            <v>-28</v>
          </cell>
          <cell r="AK52" t="str">
            <v>ES-FAM</v>
          </cell>
          <cell r="AO52">
            <v>1</v>
          </cell>
          <cell r="AP52">
            <v>0</v>
          </cell>
          <cell r="AQ52">
            <v>0</v>
          </cell>
          <cell r="AS52">
            <v>1</v>
          </cell>
          <cell r="BI52">
            <v>1</v>
          </cell>
          <cell r="BJ52" t="str">
            <v>Y</v>
          </cell>
          <cell r="BN52" t="str">
            <v>Adult</v>
          </cell>
          <cell r="CJ52" t="e">
            <v>#N/A</v>
          </cell>
        </row>
        <row r="53">
          <cell r="B53">
            <v>31</v>
          </cell>
          <cell r="F53">
            <v>39724</v>
          </cell>
          <cell r="H53">
            <v>0</v>
          </cell>
          <cell r="I53">
            <v>0</v>
          </cell>
          <cell r="J53">
            <v>16</v>
          </cell>
          <cell r="L53">
            <v>45229</v>
          </cell>
          <cell r="M53">
            <v>1</v>
          </cell>
          <cell r="N53">
            <v>1</v>
          </cell>
          <cell r="Q53">
            <v>3</v>
          </cell>
          <cell r="AB53">
            <v>1</v>
          </cell>
          <cell r="AI53">
            <v>-89</v>
          </cell>
          <cell r="AK53" t="str">
            <v>ES-FAM</v>
          </cell>
          <cell r="AO53">
            <v>0</v>
          </cell>
          <cell r="AP53">
            <v>0</v>
          </cell>
          <cell r="AQ53">
            <v>0</v>
          </cell>
          <cell r="AS53">
            <v>1</v>
          </cell>
          <cell r="BI53">
            <v>1</v>
          </cell>
          <cell r="BJ53" t="str">
            <v>Y</v>
          </cell>
          <cell r="BN53" t="str">
            <v>Adult</v>
          </cell>
          <cell r="CJ53" t="e">
            <v>#N/A</v>
          </cell>
        </row>
        <row r="54">
          <cell r="B54">
            <v>31</v>
          </cell>
          <cell r="F54">
            <v>39919</v>
          </cell>
          <cell r="H54">
            <v>0</v>
          </cell>
          <cell r="I54">
            <v>0</v>
          </cell>
          <cell r="J54">
            <v>14</v>
          </cell>
          <cell r="L54">
            <v>45215</v>
          </cell>
          <cell r="M54">
            <v>1</v>
          </cell>
          <cell r="N54">
            <v>1</v>
          </cell>
          <cell r="O54">
            <v>4</v>
          </cell>
          <cell r="Q54">
            <v>2</v>
          </cell>
          <cell r="AB54">
            <v>1</v>
          </cell>
          <cell r="AI54">
            <v>35</v>
          </cell>
          <cell r="AK54" t="str">
            <v>ES-FAM</v>
          </cell>
          <cell r="AO54">
            <v>0</v>
          </cell>
          <cell r="AP54">
            <v>0</v>
          </cell>
          <cell r="AQ54">
            <v>0</v>
          </cell>
          <cell r="AS54">
            <v>1</v>
          </cell>
          <cell r="BI54">
            <v>1</v>
          </cell>
          <cell r="BJ54" t="str">
            <v>Y</v>
          </cell>
          <cell r="BN54" t="str">
            <v>Child</v>
          </cell>
          <cell r="CJ54" t="str">
            <v>HHKidsOnly</v>
          </cell>
        </row>
        <row r="55">
          <cell r="B55">
            <v>31</v>
          </cell>
          <cell r="F55">
            <v>39933</v>
          </cell>
          <cell r="H55">
            <v>0</v>
          </cell>
          <cell r="I55">
            <v>8</v>
          </cell>
          <cell r="J55">
            <v>1</v>
          </cell>
          <cell r="L55">
            <v>45214</v>
          </cell>
          <cell r="M55">
            <v>1</v>
          </cell>
          <cell r="N55">
            <v>1</v>
          </cell>
          <cell r="O55">
            <v>4</v>
          </cell>
          <cell r="Q55">
            <v>10</v>
          </cell>
          <cell r="AB55">
            <v>1</v>
          </cell>
          <cell r="AI55">
            <v>88</v>
          </cell>
          <cell r="AK55" t="str">
            <v>ES-IND</v>
          </cell>
          <cell r="AO55">
            <v>0</v>
          </cell>
          <cell r="AP55">
            <v>0</v>
          </cell>
          <cell r="AQ55">
            <v>1</v>
          </cell>
          <cell r="AS55">
            <v>1</v>
          </cell>
          <cell r="BI55">
            <v>1</v>
          </cell>
          <cell r="BJ55" t="str">
            <v>Y</v>
          </cell>
          <cell r="BN55" t="str">
            <v>Adult</v>
          </cell>
          <cell r="CJ55" t="str">
            <v>HHNoKids</v>
          </cell>
        </row>
        <row r="56">
          <cell r="B56">
            <v>31</v>
          </cell>
          <cell r="F56">
            <v>39940</v>
          </cell>
          <cell r="H56">
            <v>0</v>
          </cell>
          <cell r="I56">
            <v>0</v>
          </cell>
          <cell r="J56">
            <v>13</v>
          </cell>
          <cell r="L56">
            <v>45205</v>
          </cell>
          <cell r="M56">
            <v>1</v>
          </cell>
          <cell r="N56">
            <v>1</v>
          </cell>
          <cell r="Q56">
            <v>13</v>
          </cell>
          <cell r="AB56">
            <v>1</v>
          </cell>
          <cell r="AI56">
            <v>2</v>
          </cell>
          <cell r="AK56" t="str">
            <v>ES-FAM</v>
          </cell>
          <cell r="AO56">
            <v>0</v>
          </cell>
          <cell r="AP56">
            <v>0</v>
          </cell>
          <cell r="AQ56">
            <v>0</v>
          </cell>
          <cell r="AS56">
            <v>1</v>
          </cell>
          <cell r="BI56">
            <v>1</v>
          </cell>
          <cell r="BJ56" t="str">
            <v>Y</v>
          </cell>
          <cell r="BN56" t="str">
            <v>Adult</v>
          </cell>
          <cell r="CJ56" t="str">
            <v>HHNoKids</v>
          </cell>
        </row>
        <row r="57">
          <cell r="B57">
            <v>31</v>
          </cell>
          <cell r="F57">
            <v>39940</v>
          </cell>
          <cell r="H57">
            <v>0</v>
          </cell>
          <cell r="I57">
            <v>0</v>
          </cell>
          <cell r="J57">
            <v>13</v>
          </cell>
          <cell r="L57">
            <v>45205</v>
          </cell>
          <cell r="M57">
            <v>1</v>
          </cell>
          <cell r="N57">
            <v>1</v>
          </cell>
          <cell r="O57">
            <v>3</v>
          </cell>
          <cell r="Q57">
            <v>13</v>
          </cell>
          <cell r="AB57">
            <v>1</v>
          </cell>
          <cell r="AI57">
            <v>2</v>
          </cell>
          <cell r="AK57" t="str">
            <v>ES-FAM</v>
          </cell>
          <cell r="AO57">
            <v>0</v>
          </cell>
          <cell r="AP57">
            <v>0</v>
          </cell>
          <cell r="AQ57">
            <v>0</v>
          </cell>
          <cell r="AS57">
            <v>1</v>
          </cell>
          <cell r="BI57">
            <v>1</v>
          </cell>
          <cell r="BJ57" t="str">
            <v>Y</v>
          </cell>
          <cell r="BN57" t="str">
            <v>Child</v>
          </cell>
          <cell r="CJ57" t="str">
            <v>HHKidsOnly</v>
          </cell>
        </row>
        <row r="58">
          <cell r="B58">
            <v>31</v>
          </cell>
          <cell r="F58">
            <v>39940</v>
          </cell>
          <cell r="H58">
            <v>0</v>
          </cell>
          <cell r="I58">
            <v>0</v>
          </cell>
          <cell r="J58">
            <v>13</v>
          </cell>
          <cell r="L58">
            <v>45205</v>
          </cell>
          <cell r="M58">
            <v>1</v>
          </cell>
          <cell r="N58">
            <v>1</v>
          </cell>
          <cell r="O58">
            <v>2</v>
          </cell>
          <cell r="Q58">
            <v>13</v>
          </cell>
          <cell r="AB58">
            <v>1</v>
          </cell>
          <cell r="AI58">
            <v>2</v>
          </cell>
          <cell r="AK58" t="str">
            <v>ES-FAM</v>
          </cell>
          <cell r="AO58">
            <v>0</v>
          </cell>
          <cell r="AP58">
            <v>0</v>
          </cell>
          <cell r="AQ58">
            <v>0</v>
          </cell>
          <cell r="AS58">
            <v>1</v>
          </cell>
          <cell r="BI58">
            <v>1</v>
          </cell>
          <cell r="BJ58" t="str">
            <v>Y</v>
          </cell>
          <cell r="BN58" t="str">
            <v>Child</v>
          </cell>
          <cell r="CJ58" t="str">
            <v>HHKidsOnly</v>
          </cell>
        </row>
        <row r="59">
          <cell r="B59">
            <v>31</v>
          </cell>
          <cell r="F59">
            <v>39940</v>
          </cell>
          <cell r="H59">
            <v>0</v>
          </cell>
          <cell r="I59">
            <v>0</v>
          </cell>
          <cell r="J59">
            <v>13</v>
          </cell>
          <cell r="L59">
            <v>45205</v>
          </cell>
          <cell r="M59">
            <v>1</v>
          </cell>
          <cell r="N59">
            <v>1</v>
          </cell>
          <cell r="Q59">
            <v>13</v>
          </cell>
          <cell r="AB59">
            <v>1</v>
          </cell>
          <cell r="AI59">
            <v>2</v>
          </cell>
          <cell r="AK59" t="str">
            <v>ES-FAM</v>
          </cell>
          <cell r="AO59">
            <v>0</v>
          </cell>
          <cell r="AP59">
            <v>0</v>
          </cell>
          <cell r="AQ59">
            <v>0</v>
          </cell>
          <cell r="AS59">
            <v>1</v>
          </cell>
          <cell r="BI59">
            <v>1</v>
          </cell>
          <cell r="BJ59" t="str">
            <v>Y</v>
          </cell>
          <cell r="BN59" t="str">
            <v>Child</v>
          </cell>
          <cell r="CJ59" t="str">
            <v>HHKidsOnly</v>
          </cell>
        </row>
        <row r="60">
          <cell r="B60">
            <v>31</v>
          </cell>
          <cell r="F60">
            <v>39965</v>
          </cell>
          <cell r="H60">
            <v>0</v>
          </cell>
          <cell r="I60">
            <v>8</v>
          </cell>
          <cell r="J60">
            <v>7</v>
          </cell>
          <cell r="L60">
            <v>45202</v>
          </cell>
          <cell r="M60">
            <v>1</v>
          </cell>
          <cell r="N60">
            <v>1</v>
          </cell>
          <cell r="O60">
            <v>4</v>
          </cell>
          <cell r="Q60">
            <v>23</v>
          </cell>
          <cell r="AB60">
            <v>1</v>
          </cell>
          <cell r="AI60">
            <v>81</v>
          </cell>
          <cell r="AK60" t="str">
            <v>ES-IND</v>
          </cell>
          <cell r="AO60">
            <v>0</v>
          </cell>
          <cell r="AP60">
            <v>0</v>
          </cell>
          <cell r="AQ60">
            <v>1</v>
          </cell>
          <cell r="AS60">
            <v>1</v>
          </cell>
          <cell r="BI60">
            <v>1</v>
          </cell>
          <cell r="BJ60" t="str">
            <v>Y</v>
          </cell>
          <cell r="BN60" t="str">
            <v>Adult</v>
          </cell>
          <cell r="CJ60" t="str">
            <v>HHNoKids</v>
          </cell>
        </row>
        <row r="61">
          <cell r="B61">
            <v>31</v>
          </cell>
          <cell r="F61">
            <v>39969</v>
          </cell>
          <cell r="H61">
            <v>0</v>
          </cell>
          <cell r="I61">
            <v>8</v>
          </cell>
          <cell r="J61">
            <v>12</v>
          </cell>
          <cell r="L61">
            <v>45213</v>
          </cell>
          <cell r="M61">
            <v>1</v>
          </cell>
          <cell r="N61">
            <v>2</v>
          </cell>
          <cell r="O61">
            <v>4</v>
          </cell>
          <cell r="Q61">
            <v>3</v>
          </cell>
          <cell r="AB61">
            <v>1</v>
          </cell>
          <cell r="AI61">
            <v>50</v>
          </cell>
          <cell r="AK61" t="str">
            <v>ES-IND</v>
          </cell>
          <cell r="AO61">
            <v>0</v>
          </cell>
          <cell r="AP61">
            <v>0</v>
          </cell>
          <cell r="AQ61">
            <v>1</v>
          </cell>
          <cell r="AS61">
            <v>1</v>
          </cell>
          <cell r="BI61">
            <v>1</v>
          </cell>
          <cell r="BJ61" t="str">
            <v>Y</v>
          </cell>
          <cell r="BN61" t="str">
            <v>Adult</v>
          </cell>
          <cell r="CJ61" t="str">
            <v>HHNoKids</v>
          </cell>
        </row>
        <row r="62">
          <cell r="B62">
            <v>31</v>
          </cell>
          <cell r="F62">
            <v>39881</v>
          </cell>
          <cell r="H62">
            <v>0</v>
          </cell>
          <cell r="I62">
            <v>1</v>
          </cell>
          <cell r="J62">
            <v>22</v>
          </cell>
          <cell r="L62">
            <v>0</v>
          </cell>
          <cell r="N62">
            <v>2</v>
          </cell>
          <cell r="O62">
            <v>4</v>
          </cell>
          <cell r="Q62">
            <v>10</v>
          </cell>
          <cell r="AB62">
            <v>1</v>
          </cell>
          <cell r="AI62">
            <v>63</v>
          </cell>
          <cell r="AK62" t="str">
            <v>ES-IND</v>
          </cell>
          <cell r="AO62">
            <v>0</v>
          </cell>
          <cell r="AP62">
            <v>1</v>
          </cell>
          <cell r="AQ62">
            <v>0</v>
          </cell>
          <cell r="AS62">
            <v>1</v>
          </cell>
          <cell r="BI62">
            <v>1</v>
          </cell>
          <cell r="BJ62" t="str">
            <v>Y</v>
          </cell>
          <cell r="BN62" t="str">
            <v>Adult</v>
          </cell>
          <cell r="CJ62" t="str">
            <v>HHNoKids</v>
          </cell>
        </row>
        <row r="63">
          <cell r="B63">
            <v>31</v>
          </cell>
          <cell r="F63">
            <v>39996</v>
          </cell>
          <cell r="H63">
            <v>0</v>
          </cell>
          <cell r="I63">
            <v>8</v>
          </cell>
          <cell r="J63">
            <v>2</v>
          </cell>
          <cell r="L63">
            <v>45202</v>
          </cell>
          <cell r="M63">
            <v>1</v>
          </cell>
          <cell r="N63">
            <v>1</v>
          </cell>
          <cell r="O63">
            <v>4</v>
          </cell>
          <cell r="Q63">
            <v>20</v>
          </cell>
          <cell r="AB63">
            <v>1</v>
          </cell>
          <cell r="AI63">
            <v>70</v>
          </cell>
          <cell r="AK63" t="str">
            <v>ES-IND</v>
          </cell>
          <cell r="AO63">
            <v>0</v>
          </cell>
          <cell r="AP63">
            <v>0</v>
          </cell>
          <cell r="AQ63">
            <v>1</v>
          </cell>
          <cell r="AS63">
            <v>1</v>
          </cell>
          <cell r="BI63">
            <v>1</v>
          </cell>
          <cell r="BJ63" t="str">
            <v>Y</v>
          </cell>
          <cell r="BN63" t="str">
            <v>Adult</v>
          </cell>
          <cell r="CJ63" t="str">
            <v>HHNoKids</v>
          </cell>
        </row>
        <row r="64">
          <cell r="B64">
            <v>31</v>
          </cell>
          <cell r="F64">
            <v>39989</v>
          </cell>
          <cell r="H64">
            <v>1</v>
          </cell>
          <cell r="I64">
            <v>1</v>
          </cell>
          <cell r="J64">
            <v>22</v>
          </cell>
          <cell r="L64">
            <v>0</v>
          </cell>
          <cell r="N64">
            <v>2</v>
          </cell>
          <cell r="O64">
            <v>4</v>
          </cell>
          <cell r="Q64">
            <v>20</v>
          </cell>
          <cell r="AB64">
            <v>1</v>
          </cell>
          <cell r="AI64">
            <v>79</v>
          </cell>
          <cell r="AK64" t="str">
            <v>ES-IND</v>
          </cell>
          <cell r="AO64">
            <v>0</v>
          </cell>
          <cell r="AP64">
            <v>0</v>
          </cell>
          <cell r="AQ64">
            <v>1</v>
          </cell>
          <cell r="AS64">
            <v>1</v>
          </cell>
          <cell r="BI64">
            <v>1</v>
          </cell>
          <cell r="BJ64" t="str">
            <v>Y</v>
          </cell>
          <cell r="BN64" t="str">
            <v>Adult</v>
          </cell>
          <cell r="CJ64" t="str">
            <v>HHNoKids</v>
          </cell>
        </row>
        <row r="65">
          <cell r="B65">
            <v>31</v>
          </cell>
          <cell r="F65">
            <v>39951</v>
          </cell>
          <cell r="H65">
            <v>0</v>
          </cell>
          <cell r="I65">
            <v>1</v>
          </cell>
          <cell r="J65">
            <v>1</v>
          </cell>
          <cell r="L65">
            <v>45211</v>
          </cell>
          <cell r="M65">
            <v>1</v>
          </cell>
          <cell r="N65">
            <v>1</v>
          </cell>
          <cell r="O65">
            <v>4</v>
          </cell>
          <cell r="Q65">
            <v>21</v>
          </cell>
          <cell r="AB65">
            <v>1</v>
          </cell>
          <cell r="AI65">
            <v>40</v>
          </cell>
          <cell r="AK65" t="str">
            <v>ES-IND</v>
          </cell>
          <cell r="AO65">
            <v>0</v>
          </cell>
          <cell r="AP65">
            <v>0</v>
          </cell>
          <cell r="AQ65">
            <v>1</v>
          </cell>
          <cell r="AS65">
            <v>1</v>
          </cell>
          <cell r="BI65">
            <v>1</v>
          </cell>
          <cell r="BJ65" t="str">
            <v>Y</v>
          </cell>
          <cell r="BN65" t="str">
            <v>Adult</v>
          </cell>
          <cell r="CJ65" t="str">
            <v>HHNoKids</v>
          </cell>
        </row>
        <row r="66">
          <cell r="B66">
            <v>31</v>
          </cell>
          <cell r="F66">
            <v>39917</v>
          </cell>
          <cell r="H66">
            <v>0</v>
          </cell>
          <cell r="I66">
            <v>0</v>
          </cell>
          <cell r="J66">
            <v>1</v>
          </cell>
          <cell r="L66">
            <v>45237</v>
          </cell>
          <cell r="M66">
            <v>1</v>
          </cell>
          <cell r="N66">
            <v>1</v>
          </cell>
          <cell r="O66">
            <v>4</v>
          </cell>
          <cell r="Q66">
            <v>20</v>
          </cell>
          <cell r="AB66">
            <v>1</v>
          </cell>
          <cell r="AI66">
            <v>69</v>
          </cell>
          <cell r="AK66" t="str">
            <v>ES-FAM</v>
          </cell>
          <cell r="AO66">
            <v>0</v>
          </cell>
          <cell r="AP66">
            <v>0</v>
          </cell>
          <cell r="AQ66">
            <v>0</v>
          </cell>
          <cell r="AS66">
            <v>1</v>
          </cell>
          <cell r="BI66">
            <v>1</v>
          </cell>
          <cell r="BJ66" t="str">
            <v>Y</v>
          </cell>
          <cell r="BN66" t="str">
            <v>Adult</v>
          </cell>
          <cell r="CJ66" t="str">
            <v>HHNoKids</v>
          </cell>
        </row>
        <row r="67">
          <cell r="B67">
            <v>31</v>
          </cell>
          <cell r="F67">
            <v>39917</v>
          </cell>
          <cell r="H67">
            <v>0</v>
          </cell>
          <cell r="I67">
            <v>0</v>
          </cell>
          <cell r="J67">
            <v>1</v>
          </cell>
          <cell r="L67">
            <v>45237</v>
          </cell>
          <cell r="M67">
            <v>1</v>
          </cell>
          <cell r="N67">
            <v>1</v>
          </cell>
          <cell r="O67">
            <v>4</v>
          </cell>
          <cell r="Q67">
            <v>20</v>
          </cell>
          <cell r="AB67">
            <v>1</v>
          </cell>
          <cell r="AI67">
            <v>69</v>
          </cell>
          <cell r="AK67" t="str">
            <v>ES-FAM</v>
          </cell>
          <cell r="AO67">
            <v>0</v>
          </cell>
          <cell r="AP67">
            <v>0</v>
          </cell>
          <cell r="AQ67">
            <v>0</v>
          </cell>
          <cell r="AS67">
            <v>1</v>
          </cell>
          <cell r="BI67">
            <v>1</v>
          </cell>
          <cell r="BJ67" t="str">
            <v>Y</v>
          </cell>
          <cell r="BN67" t="str">
            <v>Adult</v>
          </cell>
          <cell r="CJ67" t="str">
            <v>HHNoKids</v>
          </cell>
        </row>
        <row r="68">
          <cell r="B68">
            <v>31</v>
          </cell>
          <cell r="F68">
            <v>39917</v>
          </cell>
          <cell r="H68">
            <v>0</v>
          </cell>
          <cell r="I68">
            <v>0</v>
          </cell>
          <cell r="J68">
            <v>1</v>
          </cell>
          <cell r="L68">
            <v>45237</v>
          </cell>
          <cell r="M68">
            <v>1</v>
          </cell>
          <cell r="N68">
            <v>1</v>
          </cell>
          <cell r="O68">
            <v>4</v>
          </cell>
          <cell r="Q68">
            <v>20</v>
          </cell>
          <cell r="AB68">
            <v>1</v>
          </cell>
          <cell r="AI68">
            <v>69</v>
          </cell>
          <cell r="AK68" t="str">
            <v>ES-FAM</v>
          </cell>
          <cell r="AO68">
            <v>0</v>
          </cell>
          <cell r="AP68">
            <v>0</v>
          </cell>
          <cell r="AQ68">
            <v>0</v>
          </cell>
          <cell r="AS68">
            <v>1</v>
          </cell>
          <cell r="BI68">
            <v>1</v>
          </cell>
          <cell r="BJ68" t="str">
            <v>Y</v>
          </cell>
          <cell r="BN68" t="str">
            <v>Child</v>
          </cell>
          <cell r="CJ68" t="str">
            <v>HHKidsOnly</v>
          </cell>
        </row>
        <row r="69">
          <cell r="B69">
            <v>31</v>
          </cell>
          <cell r="F69">
            <v>39917</v>
          </cell>
          <cell r="H69">
            <v>0</v>
          </cell>
          <cell r="I69">
            <v>1</v>
          </cell>
          <cell r="J69">
            <v>1</v>
          </cell>
          <cell r="L69">
            <v>45237</v>
          </cell>
          <cell r="M69">
            <v>1</v>
          </cell>
          <cell r="N69">
            <v>1</v>
          </cell>
          <cell r="O69">
            <v>4</v>
          </cell>
          <cell r="Q69">
            <v>20</v>
          </cell>
          <cell r="AB69">
            <v>1</v>
          </cell>
          <cell r="AI69">
            <v>69</v>
          </cell>
          <cell r="AK69" t="str">
            <v>ES-FAM</v>
          </cell>
          <cell r="AO69">
            <v>0</v>
          </cell>
          <cell r="AP69">
            <v>0</v>
          </cell>
          <cell r="AQ69">
            <v>0</v>
          </cell>
          <cell r="AS69">
            <v>1</v>
          </cell>
          <cell r="BI69">
            <v>1</v>
          </cell>
          <cell r="BJ69" t="str">
            <v>Y</v>
          </cell>
          <cell r="BN69" t="str">
            <v>Child</v>
          </cell>
          <cell r="CJ69" t="str">
            <v>HHKidsOnly</v>
          </cell>
        </row>
        <row r="70">
          <cell r="B70">
            <v>31</v>
          </cell>
          <cell r="F70">
            <v>39995</v>
          </cell>
          <cell r="H70">
            <v>0</v>
          </cell>
          <cell r="I70">
            <v>1</v>
          </cell>
          <cell r="J70">
            <v>19</v>
          </cell>
          <cell r="L70">
            <v>45227</v>
          </cell>
          <cell r="M70">
            <v>1</v>
          </cell>
          <cell r="N70">
            <v>2</v>
          </cell>
          <cell r="O70">
            <v>3</v>
          </cell>
          <cell r="Q70">
            <v>12</v>
          </cell>
          <cell r="AB70">
            <v>1</v>
          </cell>
          <cell r="AI70">
            <v>21</v>
          </cell>
          <cell r="AK70" t="str">
            <v>ES-IND</v>
          </cell>
          <cell r="AO70">
            <v>0</v>
          </cell>
          <cell r="AP70">
            <v>0</v>
          </cell>
          <cell r="AQ70">
            <v>0</v>
          </cell>
          <cell r="AS70">
            <v>1</v>
          </cell>
          <cell r="BI70">
            <v>1</v>
          </cell>
          <cell r="BJ70" t="str">
            <v>Y</v>
          </cell>
          <cell r="BN70" t="str">
            <v>Adult</v>
          </cell>
          <cell r="CJ70" t="str">
            <v>HHNoKids</v>
          </cell>
        </row>
        <row r="71">
          <cell r="B71">
            <v>31</v>
          </cell>
          <cell r="F71">
            <v>40019</v>
          </cell>
          <cell r="H71">
            <v>0</v>
          </cell>
          <cell r="I71">
            <v>1</v>
          </cell>
          <cell r="J71">
            <v>13</v>
          </cell>
          <cell r="L71">
            <v>41071</v>
          </cell>
          <cell r="M71">
            <v>1</v>
          </cell>
          <cell r="N71">
            <v>2</v>
          </cell>
          <cell r="O71">
            <v>3</v>
          </cell>
          <cell r="Q71">
            <v>13</v>
          </cell>
          <cell r="AB71">
            <v>1</v>
          </cell>
          <cell r="AI71">
            <v>89</v>
          </cell>
          <cell r="AK71" t="str">
            <v>ES-IND</v>
          </cell>
          <cell r="AO71">
            <v>0</v>
          </cell>
          <cell r="AP71">
            <v>0</v>
          </cell>
          <cell r="AQ71">
            <v>1</v>
          </cell>
          <cell r="AS71">
            <v>1</v>
          </cell>
          <cell r="BI71">
            <v>1</v>
          </cell>
          <cell r="BJ71" t="str">
            <v>Y</v>
          </cell>
          <cell r="BN71" t="str">
            <v>Adult</v>
          </cell>
          <cell r="CJ71" t="str">
            <v>HHNoKids</v>
          </cell>
        </row>
        <row r="72">
          <cell r="B72">
            <v>31</v>
          </cell>
          <cell r="F72">
            <v>40106</v>
          </cell>
          <cell r="H72">
            <v>0</v>
          </cell>
          <cell r="I72">
            <v>1</v>
          </cell>
          <cell r="J72">
            <v>1</v>
          </cell>
          <cell r="L72">
            <v>45214</v>
          </cell>
          <cell r="M72">
            <v>1</v>
          </cell>
          <cell r="N72">
            <v>1</v>
          </cell>
          <cell r="O72">
            <v>4</v>
          </cell>
          <cell r="AB72">
            <v>1</v>
          </cell>
          <cell r="AI72">
            <v>132</v>
          </cell>
          <cell r="AK72" t="str">
            <v>ES-IND</v>
          </cell>
          <cell r="AO72">
            <v>0</v>
          </cell>
          <cell r="AP72">
            <v>0</v>
          </cell>
          <cell r="AQ72">
            <v>0</v>
          </cell>
          <cell r="AS72">
            <v>1</v>
          </cell>
          <cell r="BI72">
            <v>1</v>
          </cell>
          <cell r="BJ72" t="str">
            <v>Y</v>
          </cell>
          <cell r="BN72" t="str">
            <v>Adult</v>
          </cell>
          <cell r="CJ72" t="str">
            <v>HHNoKids</v>
          </cell>
        </row>
        <row r="73">
          <cell r="B73">
            <v>31</v>
          </cell>
          <cell r="F73">
            <v>39957</v>
          </cell>
          <cell r="H73">
            <v>0</v>
          </cell>
          <cell r="I73">
            <v>0</v>
          </cell>
          <cell r="J73">
            <v>12</v>
          </cell>
          <cell r="L73">
            <v>45205</v>
          </cell>
          <cell r="M73">
            <v>1</v>
          </cell>
          <cell r="N73">
            <v>1</v>
          </cell>
          <cell r="O73">
            <v>3</v>
          </cell>
          <cell r="Q73">
            <v>12</v>
          </cell>
          <cell r="AB73">
            <v>1</v>
          </cell>
          <cell r="AI73">
            <v>56</v>
          </cell>
          <cell r="AK73" t="str">
            <v>ES-FAM</v>
          </cell>
          <cell r="AO73">
            <v>0</v>
          </cell>
          <cell r="AP73">
            <v>0</v>
          </cell>
          <cell r="AQ73">
            <v>1</v>
          </cell>
          <cell r="AS73">
            <v>1</v>
          </cell>
          <cell r="BI73">
            <v>1</v>
          </cell>
          <cell r="BJ73" t="str">
            <v>Y</v>
          </cell>
          <cell r="BN73" t="str">
            <v>Adult</v>
          </cell>
          <cell r="CJ73" t="str">
            <v>HHNoKids</v>
          </cell>
        </row>
        <row r="74">
          <cell r="B74">
            <v>31</v>
          </cell>
          <cell r="F74">
            <v>39927</v>
          </cell>
          <cell r="H74">
            <v>0</v>
          </cell>
          <cell r="I74">
            <v>0</v>
          </cell>
          <cell r="J74">
            <v>12</v>
          </cell>
          <cell r="L74">
            <v>45205</v>
          </cell>
          <cell r="M74">
            <v>1</v>
          </cell>
          <cell r="N74">
            <v>1</v>
          </cell>
          <cell r="O74">
            <v>3</v>
          </cell>
          <cell r="Q74">
            <v>12</v>
          </cell>
          <cell r="AB74">
            <v>1</v>
          </cell>
          <cell r="AI74">
            <v>26</v>
          </cell>
          <cell r="AK74" t="str">
            <v>ES-FAM</v>
          </cell>
          <cell r="AO74">
            <v>0</v>
          </cell>
          <cell r="AP74">
            <v>0</v>
          </cell>
          <cell r="AQ74">
            <v>0</v>
          </cell>
          <cell r="AS74">
            <v>1</v>
          </cell>
          <cell r="BI74">
            <v>1</v>
          </cell>
          <cell r="BJ74" t="str">
            <v>Y</v>
          </cell>
          <cell r="BN74" t="str">
            <v>Child</v>
          </cell>
          <cell r="CJ74" t="str">
            <v>HHKidsOnly</v>
          </cell>
        </row>
        <row r="75">
          <cell r="B75">
            <v>31</v>
          </cell>
          <cell r="F75">
            <v>39927</v>
          </cell>
          <cell r="H75">
            <v>0</v>
          </cell>
          <cell r="I75">
            <v>0</v>
          </cell>
          <cell r="J75">
            <v>12</v>
          </cell>
          <cell r="L75">
            <v>45205</v>
          </cell>
          <cell r="M75">
            <v>1</v>
          </cell>
          <cell r="N75">
            <v>1</v>
          </cell>
          <cell r="O75">
            <v>3</v>
          </cell>
          <cell r="Q75">
            <v>12</v>
          </cell>
          <cell r="AB75">
            <v>1</v>
          </cell>
          <cell r="AI75">
            <v>26</v>
          </cell>
          <cell r="AK75" t="str">
            <v>ES-FAM</v>
          </cell>
          <cell r="AO75">
            <v>0</v>
          </cell>
          <cell r="AP75">
            <v>0</v>
          </cell>
          <cell r="AQ75">
            <v>0</v>
          </cell>
          <cell r="AS75">
            <v>1</v>
          </cell>
          <cell r="BI75">
            <v>1</v>
          </cell>
          <cell r="BJ75" t="str">
            <v>Y</v>
          </cell>
          <cell r="BN75" t="str">
            <v>Child</v>
          </cell>
          <cell r="CJ75" t="str">
            <v>HHKidsOnly</v>
          </cell>
        </row>
        <row r="76">
          <cell r="B76">
            <v>31</v>
          </cell>
          <cell r="F76">
            <v>39975</v>
          </cell>
          <cell r="H76">
            <v>9</v>
          </cell>
          <cell r="I76">
            <v>1</v>
          </cell>
          <cell r="J76">
            <v>9</v>
          </cell>
          <cell r="L76">
            <v>0</v>
          </cell>
          <cell r="N76">
            <v>1</v>
          </cell>
          <cell r="O76">
            <v>4</v>
          </cell>
          <cell r="Q76">
            <v>10</v>
          </cell>
          <cell r="AB76">
            <v>1</v>
          </cell>
          <cell r="AI76">
            <v>44</v>
          </cell>
          <cell r="AK76" t="str">
            <v>ES-IND</v>
          </cell>
          <cell r="AO76">
            <v>0</v>
          </cell>
          <cell r="AP76">
            <v>0</v>
          </cell>
          <cell r="AQ76">
            <v>1</v>
          </cell>
          <cell r="AS76">
            <v>1</v>
          </cell>
          <cell r="BI76">
            <v>1</v>
          </cell>
          <cell r="BJ76" t="str">
            <v>Y</v>
          </cell>
          <cell r="BN76" t="str">
            <v>Adult</v>
          </cell>
          <cell r="CJ76" t="str">
            <v>HHNoKids</v>
          </cell>
        </row>
        <row r="77">
          <cell r="B77">
            <v>31</v>
          </cell>
          <cell r="F77">
            <v>39927</v>
          </cell>
          <cell r="H77">
            <v>0</v>
          </cell>
          <cell r="I77">
            <v>0</v>
          </cell>
          <cell r="J77">
            <v>12</v>
          </cell>
          <cell r="L77">
            <v>45205</v>
          </cell>
          <cell r="M77">
            <v>1</v>
          </cell>
          <cell r="N77">
            <v>1</v>
          </cell>
          <cell r="O77">
            <v>3</v>
          </cell>
          <cell r="Q77">
            <v>12</v>
          </cell>
          <cell r="AB77">
            <v>1</v>
          </cell>
          <cell r="AI77">
            <v>26</v>
          </cell>
          <cell r="AK77" t="str">
            <v>ES-FAM</v>
          </cell>
          <cell r="AO77">
            <v>0</v>
          </cell>
          <cell r="AP77">
            <v>0</v>
          </cell>
          <cell r="AQ77">
            <v>0</v>
          </cell>
          <cell r="AS77">
            <v>1</v>
          </cell>
          <cell r="BI77">
            <v>1</v>
          </cell>
          <cell r="BJ77" t="str">
            <v>Y</v>
          </cell>
          <cell r="BN77" t="str">
            <v>Child</v>
          </cell>
          <cell r="CJ77" t="str">
            <v>HHKidsOnly</v>
          </cell>
        </row>
        <row r="78">
          <cell r="B78">
            <v>31</v>
          </cell>
          <cell r="F78">
            <v>40013</v>
          </cell>
          <cell r="H78">
            <v>0</v>
          </cell>
          <cell r="I78">
            <v>0</v>
          </cell>
          <cell r="J78">
            <v>20</v>
          </cell>
          <cell r="L78">
            <v>45206</v>
          </cell>
          <cell r="M78">
            <v>1</v>
          </cell>
          <cell r="N78">
            <v>2</v>
          </cell>
          <cell r="O78">
            <v>4</v>
          </cell>
          <cell r="Q78">
            <v>10</v>
          </cell>
          <cell r="AB78">
            <v>1</v>
          </cell>
          <cell r="AI78">
            <v>82</v>
          </cell>
          <cell r="AK78" t="str">
            <v>ES-FAM</v>
          </cell>
          <cell r="AO78">
            <v>0</v>
          </cell>
          <cell r="AP78">
            <v>0</v>
          </cell>
          <cell r="AQ78">
            <v>1</v>
          </cell>
          <cell r="AS78">
            <v>1</v>
          </cell>
          <cell r="BI78">
            <v>1</v>
          </cell>
          <cell r="BJ78" t="str">
            <v>Y</v>
          </cell>
          <cell r="BN78" t="str">
            <v>Adult</v>
          </cell>
          <cell r="CJ78" t="str">
            <v>HHNoKids</v>
          </cell>
        </row>
        <row r="79">
          <cell r="B79">
            <v>31</v>
          </cell>
          <cell r="F79">
            <v>39951</v>
          </cell>
          <cell r="H79">
            <v>0</v>
          </cell>
          <cell r="I79">
            <v>0</v>
          </cell>
          <cell r="J79">
            <v>20</v>
          </cell>
          <cell r="L79">
            <v>45206</v>
          </cell>
          <cell r="M79">
            <v>1</v>
          </cell>
          <cell r="N79">
            <v>2</v>
          </cell>
          <cell r="O79">
            <v>4</v>
          </cell>
          <cell r="Q79">
            <v>10</v>
          </cell>
          <cell r="AB79">
            <v>1</v>
          </cell>
          <cell r="AI79">
            <v>20</v>
          </cell>
          <cell r="AK79" t="str">
            <v>ES-FAM</v>
          </cell>
          <cell r="AO79">
            <v>0</v>
          </cell>
          <cell r="AP79">
            <v>0</v>
          </cell>
          <cell r="AQ79">
            <v>1</v>
          </cell>
          <cell r="AS79">
            <v>1</v>
          </cell>
          <cell r="BI79">
            <v>1</v>
          </cell>
          <cell r="BJ79" t="str">
            <v>Y</v>
          </cell>
          <cell r="BN79" t="str">
            <v>Child</v>
          </cell>
          <cell r="CJ79" t="str">
            <v>HHKidsOnly</v>
          </cell>
        </row>
        <row r="80">
          <cell r="B80">
            <v>31</v>
          </cell>
          <cell r="F80">
            <v>39698</v>
          </cell>
          <cell r="H80">
            <v>0</v>
          </cell>
          <cell r="I80">
            <v>1</v>
          </cell>
          <cell r="J80">
            <v>1</v>
          </cell>
          <cell r="L80">
            <v>45202</v>
          </cell>
          <cell r="M80">
            <v>1</v>
          </cell>
          <cell r="N80">
            <v>1</v>
          </cell>
          <cell r="AB80">
            <v>1</v>
          </cell>
          <cell r="AI80">
            <v>-115</v>
          </cell>
          <cell r="AK80" t="str">
            <v>ES-IND</v>
          </cell>
          <cell r="AO80">
            <v>0</v>
          </cell>
          <cell r="AP80">
            <v>0</v>
          </cell>
          <cell r="AQ80">
            <v>0</v>
          </cell>
          <cell r="AS80">
            <v>1</v>
          </cell>
          <cell r="BI80">
            <v>1</v>
          </cell>
          <cell r="BJ80" t="str">
            <v>Y</v>
          </cell>
          <cell r="BN80" t="str">
            <v>Adult</v>
          </cell>
          <cell r="CJ80" t="e">
            <v>#N/A</v>
          </cell>
        </row>
        <row r="81">
          <cell r="B81">
            <v>31</v>
          </cell>
          <cell r="F81">
            <v>40061</v>
          </cell>
          <cell r="H81">
            <v>0</v>
          </cell>
          <cell r="I81">
            <v>1</v>
          </cell>
          <cell r="J81">
            <v>22</v>
          </cell>
          <cell r="L81">
            <v>45206</v>
          </cell>
          <cell r="M81">
            <v>1</v>
          </cell>
          <cell r="N81">
            <v>2</v>
          </cell>
          <cell r="O81">
            <v>4</v>
          </cell>
          <cell r="Q81">
            <v>22</v>
          </cell>
          <cell r="AB81">
            <v>1</v>
          </cell>
          <cell r="AI81">
            <v>98</v>
          </cell>
          <cell r="AK81" t="str">
            <v>ES-IND</v>
          </cell>
          <cell r="AO81">
            <v>0</v>
          </cell>
          <cell r="AP81">
            <v>0</v>
          </cell>
          <cell r="AQ81">
            <v>0</v>
          </cell>
          <cell r="AS81">
            <v>1</v>
          </cell>
          <cell r="BI81">
            <v>1</v>
          </cell>
          <cell r="BJ81" t="str">
            <v>Y</v>
          </cell>
          <cell r="BN81" t="str">
            <v>Adult</v>
          </cell>
          <cell r="CJ81" t="str">
            <v>HHNoKids</v>
          </cell>
        </row>
        <row r="82">
          <cell r="B82">
            <v>31</v>
          </cell>
          <cell r="F82">
            <v>40165</v>
          </cell>
          <cell r="H82">
            <v>0</v>
          </cell>
          <cell r="I82">
            <v>0</v>
          </cell>
          <cell r="J82">
            <v>12</v>
          </cell>
          <cell r="L82">
            <v>45213</v>
          </cell>
          <cell r="M82">
            <v>1</v>
          </cell>
          <cell r="N82">
            <v>2</v>
          </cell>
          <cell r="O82">
            <v>4</v>
          </cell>
          <cell r="Q82">
            <v>10</v>
          </cell>
          <cell r="AB82">
            <v>1</v>
          </cell>
          <cell r="AI82">
            <v>64</v>
          </cell>
          <cell r="AK82" t="str">
            <v>ES-FAM</v>
          </cell>
          <cell r="AO82">
            <v>0</v>
          </cell>
          <cell r="AP82">
            <v>0</v>
          </cell>
          <cell r="AQ82">
            <v>0</v>
          </cell>
          <cell r="AS82">
            <v>0</v>
          </cell>
          <cell r="BI82">
            <v>1</v>
          </cell>
          <cell r="BJ82" t="str">
            <v>Y</v>
          </cell>
          <cell r="BN82" t="str">
            <v>Adult</v>
          </cell>
          <cell r="CJ82" t="str">
            <v>HHNoKids</v>
          </cell>
        </row>
        <row r="83">
          <cell r="B83">
            <v>31</v>
          </cell>
          <cell r="F83">
            <v>40165</v>
          </cell>
          <cell r="H83">
            <v>0</v>
          </cell>
          <cell r="I83">
            <v>0</v>
          </cell>
          <cell r="J83">
            <v>12</v>
          </cell>
          <cell r="L83">
            <v>45213</v>
          </cell>
          <cell r="M83">
            <v>1</v>
          </cell>
          <cell r="N83">
            <v>2</v>
          </cell>
          <cell r="O83">
            <v>4</v>
          </cell>
          <cell r="Q83">
            <v>10</v>
          </cell>
          <cell r="AB83">
            <v>1</v>
          </cell>
          <cell r="AI83">
            <v>64</v>
          </cell>
          <cell r="AK83" t="str">
            <v>ES-FAM</v>
          </cell>
          <cell r="AO83">
            <v>0</v>
          </cell>
          <cell r="AP83">
            <v>0</v>
          </cell>
          <cell r="AQ83">
            <v>0</v>
          </cell>
          <cell r="AS83">
            <v>0</v>
          </cell>
          <cell r="BI83">
            <v>1</v>
          </cell>
          <cell r="BJ83" t="str">
            <v>Y</v>
          </cell>
          <cell r="BN83" t="str">
            <v>Adult</v>
          </cell>
          <cell r="CJ83" t="str">
            <v>HHNoKids</v>
          </cell>
        </row>
        <row r="84">
          <cell r="B84">
            <v>31</v>
          </cell>
          <cell r="F84">
            <v>40165</v>
          </cell>
          <cell r="H84">
            <v>0</v>
          </cell>
          <cell r="I84">
            <v>0</v>
          </cell>
          <cell r="J84">
            <v>12</v>
          </cell>
          <cell r="L84">
            <v>45213</v>
          </cell>
          <cell r="M84">
            <v>1</v>
          </cell>
          <cell r="N84">
            <v>2</v>
          </cell>
          <cell r="O84">
            <v>4</v>
          </cell>
          <cell r="Q84">
            <v>10</v>
          </cell>
          <cell r="AB84">
            <v>1</v>
          </cell>
          <cell r="AI84">
            <v>64</v>
          </cell>
          <cell r="AK84" t="str">
            <v>ES-FAM</v>
          </cell>
          <cell r="AO84">
            <v>0</v>
          </cell>
          <cell r="AP84">
            <v>0</v>
          </cell>
          <cell r="AQ84">
            <v>0</v>
          </cell>
          <cell r="AS84">
            <v>0</v>
          </cell>
          <cell r="BI84">
            <v>1</v>
          </cell>
          <cell r="BJ84" t="str">
            <v>Y</v>
          </cell>
          <cell r="BN84" t="str">
            <v>Child</v>
          </cell>
          <cell r="CJ84" t="str">
            <v>HHKidsOnly</v>
          </cell>
        </row>
        <row r="85">
          <cell r="B85">
            <v>31</v>
          </cell>
          <cell r="F85">
            <v>40148</v>
          </cell>
          <cell r="H85">
            <v>0</v>
          </cell>
          <cell r="I85">
            <v>0</v>
          </cell>
          <cell r="J85">
            <v>22</v>
          </cell>
          <cell r="L85">
            <v>45225</v>
          </cell>
          <cell r="M85">
            <v>1</v>
          </cell>
          <cell r="N85">
            <v>3</v>
          </cell>
          <cell r="O85">
            <v>4</v>
          </cell>
          <cell r="Q85">
            <v>10</v>
          </cell>
          <cell r="AB85">
            <v>1</v>
          </cell>
          <cell r="AI85">
            <v>61</v>
          </cell>
          <cell r="AK85" t="str">
            <v>ES-FAM</v>
          </cell>
          <cell r="AO85">
            <v>0</v>
          </cell>
          <cell r="AP85">
            <v>0</v>
          </cell>
          <cell r="AQ85">
            <v>0</v>
          </cell>
          <cell r="AS85">
            <v>0</v>
          </cell>
          <cell r="BI85">
            <v>1</v>
          </cell>
          <cell r="BJ85" t="str">
            <v>Y</v>
          </cell>
          <cell r="BN85" t="str">
            <v>Adult</v>
          </cell>
          <cell r="CJ85" t="str">
            <v>HHNoKids</v>
          </cell>
        </row>
        <row r="86">
          <cell r="B86">
            <v>31</v>
          </cell>
          <cell r="F86">
            <v>40148</v>
          </cell>
          <cell r="H86">
            <v>0</v>
          </cell>
          <cell r="I86">
            <v>0</v>
          </cell>
          <cell r="J86">
            <v>22</v>
          </cell>
          <cell r="L86">
            <v>45225</v>
          </cell>
          <cell r="M86">
            <v>1</v>
          </cell>
          <cell r="N86">
            <v>3</v>
          </cell>
          <cell r="O86">
            <v>4</v>
          </cell>
          <cell r="Q86">
            <v>10</v>
          </cell>
          <cell r="AB86">
            <v>1</v>
          </cell>
          <cell r="AI86">
            <v>61</v>
          </cell>
          <cell r="AK86" t="str">
            <v>ES-FAM</v>
          </cell>
          <cell r="AO86">
            <v>0</v>
          </cell>
          <cell r="AP86">
            <v>0</v>
          </cell>
          <cell r="AQ86">
            <v>0</v>
          </cell>
          <cell r="AS86">
            <v>0</v>
          </cell>
          <cell r="BI86">
            <v>1</v>
          </cell>
          <cell r="BJ86" t="str">
            <v>Y</v>
          </cell>
          <cell r="BN86" t="str">
            <v>Child</v>
          </cell>
          <cell r="CJ86" t="str">
            <v>HHKidsOnly</v>
          </cell>
        </row>
        <row r="87">
          <cell r="B87">
            <v>31</v>
          </cell>
          <cell r="F87">
            <v>40148</v>
          </cell>
          <cell r="H87">
            <v>0</v>
          </cell>
          <cell r="I87">
            <v>0</v>
          </cell>
          <cell r="J87">
            <v>20</v>
          </cell>
          <cell r="L87">
            <v>45225</v>
          </cell>
          <cell r="M87">
            <v>1</v>
          </cell>
          <cell r="N87">
            <v>2</v>
          </cell>
          <cell r="O87">
            <v>4</v>
          </cell>
          <cell r="Q87">
            <v>20</v>
          </cell>
          <cell r="AB87">
            <v>1</v>
          </cell>
          <cell r="AI87">
            <v>92</v>
          </cell>
          <cell r="AK87" t="str">
            <v>ES-IND</v>
          </cell>
          <cell r="AO87">
            <v>0</v>
          </cell>
          <cell r="AP87">
            <v>0</v>
          </cell>
          <cell r="AQ87">
            <v>0</v>
          </cell>
          <cell r="AS87">
            <v>0</v>
          </cell>
          <cell r="BI87">
            <v>1</v>
          </cell>
          <cell r="BJ87" t="str">
            <v>Y</v>
          </cell>
          <cell r="BN87" t="str">
            <v>Adult</v>
          </cell>
          <cell r="CJ87" t="str">
            <v>HHNoKids</v>
          </cell>
        </row>
        <row r="88">
          <cell r="B88">
            <v>31</v>
          </cell>
          <cell r="F88">
            <v>39967</v>
          </cell>
          <cell r="H88">
            <v>0</v>
          </cell>
          <cell r="I88">
            <v>1</v>
          </cell>
          <cell r="J88">
            <v>22</v>
          </cell>
          <cell r="L88">
            <v>0</v>
          </cell>
          <cell r="N88">
            <v>2</v>
          </cell>
          <cell r="O88">
            <v>4</v>
          </cell>
          <cell r="Q88">
            <v>20</v>
          </cell>
          <cell r="AB88">
            <v>1</v>
          </cell>
          <cell r="AI88">
            <v>87</v>
          </cell>
          <cell r="AK88" t="str">
            <v>ES-IND</v>
          </cell>
          <cell r="AO88">
            <v>0</v>
          </cell>
          <cell r="AP88">
            <v>0</v>
          </cell>
          <cell r="AQ88">
            <v>1</v>
          </cell>
          <cell r="AS88">
            <v>1</v>
          </cell>
          <cell r="BI88">
            <v>1</v>
          </cell>
          <cell r="BJ88" t="str">
            <v>Y</v>
          </cell>
          <cell r="BN88" t="str">
            <v>Adult</v>
          </cell>
          <cell r="CJ88" t="str">
            <v>HHNoKids</v>
          </cell>
        </row>
        <row r="89">
          <cell r="B89">
            <v>31</v>
          </cell>
          <cell r="F89">
            <v>40134</v>
          </cell>
          <cell r="H89">
            <v>0</v>
          </cell>
          <cell r="I89">
            <v>8</v>
          </cell>
          <cell r="J89">
            <v>20</v>
          </cell>
          <cell r="L89">
            <v>45213</v>
          </cell>
          <cell r="M89">
            <v>1</v>
          </cell>
          <cell r="N89">
            <v>2</v>
          </cell>
          <cell r="O89">
            <v>3</v>
          </cell>
          <cell r="Q89">
            <v>20</v>
          </cell>
          <cell r="AB89">
            <v>1</v>
          </cell>
          <cell r="AI89">
            <v>93</v>
          </cell>
          <cell r="AK89" t="str">
            <v>ES-FAM</v>
          </cell>
          <cell r="AO89">
            <v>0</v>
          </cell>
          <cell r="AP89">
            <v>0</v>
          </cell>
          <cell r="AQ89">
            <v>0</v>
          </cell>
          <cell r="AS89">
            <v>0</v>
          </cell>
          <cell r="BI89">
            <v>1</v>
          </cell>
          <cell r="BJ89" t="str">
            <v>Y</v>
          </cell>
          <cell r="BN89" t="str">
            <v>Adult</v>
          </cell>
          <cell r="CJ89" t="str">
            <v>HHNoKids</v>
          </cell>
        </row>
        <row r="90">
          <cell r="B90">
            <v>31</v>
          </cell>
          <cell r="F90">
            <v>40134</v>
          </cell>
          <cell r="H90">
            <v>0</v>
          </cell>
          <cell r="I90">
            <v>0</v>
          </cell>
          <cell r="J90">
            <v>20</v>
          </cell>
          <cell r="L90">
            <v>45213</v>
          </cell>
          <cell r="M90">
            <v>1</v>
          </cell>
          <cell r="N90">
            <v>2</v>
          </cell>
          <cell r="O90">
            <v>3</v>
          </cell>
          <cell r="Q90">
            <v>20</v>
          </cell>
          <cell r="AB90">
            <v>1</v>
          </cell>
          <cell r="AI90">
            <v>93</v>
          </cell>
          <cell r="AK90" t="str">
            <v>ES-FAM</v>
          </cell>
          <cell r="AO90">
            <v>0</v>
          </cell>
          <cell r="AP90">
            <v>0</v>
          </cell>
          <cell r="AQ90">
            <v>0</v>
          </cell>
          <cell r="AS90">
            <v>0</v>
          </cell>
          <cell r="BI90">
            <v>1</v>
          </cell>
          <cell r="BJ90" t="str">
            <v>Y</v>
          </cell>
          <cell r="BN90" t="str">
            <v>Child</v>
          </cell>
          <cell r="CJ90" t="str">
            <v>HHKidsOnly</v>
          </cell>
        </row>
        <row r="91">
          <cell r="B91">
            <v>31</v>
          </cell>
          <cell r="F91">
            <v>40134</v>
          </cell>
          <cell r="H91">
            <v>0</v>
          </cell>
          <cell r="I91">
            <v>0</v>
          </cell>
          <cell r="J91">
            <v>20</v>
          </cell>
          <cell r="L91">
            <v>45213</v>
          </cell>
          <cell r="M91">
            <v>1</v>
          </cell>
          <cell r="N91">
            <v>2</v>
          </cell>
          <cell r="O91">
            <v>3</v>
          </cell>
          <cell r="Q91">
            <v>20</v>
          </cell>
          <cell r="AB91">
            <v>1</v>
          </cell>
          <cell r="AI91">
            <v>93</v>
          </cell>
          <cell r="AK91" t="str">
            <v>ES-FAM</v>
          </cell>
          <cell r="AO91">
            <v>0</v>
          </cell>
          <cell r="AP91">
            <v>0</v>
          </cell>
          <cell r="AQ91">
            <v>0</v>
          </cell>
          <cell r="AS91">
            <v>0</v>
          </cell>
          <cell r="BI91">
            <v>1</v>
          </cell>
          <cell r="BJ91" t="str">
            <v>Y</v>
          </cell>
          <cell r="BN91" t="str">
            <v>Child</v>
          </cell>
          <cell r="CJ91" t="str">
            <v>HHKidsOnly</v>
          </cell>
        </row>
        <row r="92">
          <cell r="B92">
            <v>31</v>
          </cell>
          <cell r="F92">
            <v>40134</v>
          </cell>
          <cell r="H92">
            <v>0</v>
          </cell>
          <cell r="I92">
            <v>0</v>
          </cell>
          <cell r="J92">
            <v>20</v>
          </cell>
          <cell r="L92">
            <v>45213</v>
          </cell>
          <cell r="M92">
            <v>1</v>
          </cell>
          <cell r="N92">
            <v>2</v>
          </cell>
          <cell r="O92">
            <v>3</v>
          </cell>
          <cell r="Q92">
            <v>20</v>
          </cell>
          <cell r="AB92">
            <v>1</v>
          </cell>
          <cell r="AI92">
            <v>93</v>
          </cell>
          <cell r="AK92" t="str">
            <v>ES-FAM</v>
          </cell>
          <cell r="AO92">
            <v>0</v>
          </cell>
          <cell r="AP92">
            <v>0</v>
          </cell>
          <cell r="AQ92">
            <v>0</v>
          </cell>
          <cell r="AS92">
            <v>0</v>
          </cell>
          <cell r="BI92">
            <v>1</v>
          </cell>
          <cell r="BJ92" t="str">
            <v>Y</v>
          </cell>
          <cell r="BN92" t="str">
            <v>Child</v>
          </cell>
          <cell r="CJ92" t="str">
            <v>HHKidsOnly</v>
          </cell>
        </row>
        <row r="93">
          <cell r="B93">
            <v>31</v>
          </cell>
          <cell r="F93">
            <v>40137</v>
          </cell>
          <cell r="H93">
            <v>0</v>
          </cell>
          <cell r="I93">
            <v>1</v>
          </cell>
          <cell r="J93">
            <v>20</v>
          </cell>
          <cell r="L93">
            <v>45223</v>
          </cell>
          <cell r="M93">
            <v>1</v>
          </cell>
          <cell r="N93">
            <v>2</v>
          </cell>
          <cell r="O93">
            <v>3</v>
          </cell>
          <cell r="Q93">
            <v>10</v>
          </cell>
          <cell r="AB93">
            <v>1</v>
          </cell>
          <cell r="AI93">
            <v>93</v>
          </cell>
          <cell r="AK93" t="str">
            <v>ES-FAM</v>
          </cell>
          <cell r="AO93">
            <v>0</v>
          </cell>
          <cell r="AP93">
            <v>0</v>
          </cell>
          <cell r="AQ93">
            <v>0</v>
          </cell>
          <cell r="AS93">
            <v>0</v>
          </cell>
          <cell r="BI93">
            <v>1</v>
          </cell>
          <cell r="BJ93" t="str">
            <v>Y</v>
          </cell>
          <cell r="BN93" t="str">
            <v>Adult</v>
          </cell>
          <cell r="CJ93" t="str">
            <v>HHNoKids</v>
          </cell>
        </row>
        <row r="94">
          <cell r="B94">
            <v>31</v>
          </cell>
          <cell r="F94">
            <v>40137</v>
          </cell>
          <cell r="H94">
            <v>0</v>
          </cell>
          <cell r="I94">
            <v>0</v>
          </cell>
          <cell r="J94">
            <v>20</v>
          </cell>
          <cell r="L94">
            <v>45223</v>
          </cell>
          <cell r="M94">
            <v>1</v>
          </cell>
          <cell r="N94">
            <v>2</v>
          </cell>
          <cell r="O94">
            <v>3</v>
          </cell>
          <cell r="Q94">
            <v>10</v>
          </cell>
          <cell r="AB94">
            <v>1</v>
          </cell>
          <cell r="AI94">
            <v>93</v>
          </cell>
          <cell r="AK94" t="str">
            <v>ES-FAM</v>
          </cell>
          <cell r="AO94">
            <v>0</v>
          </cell>
          <cell r="AP94">
            <v>0</v>
          </cell>
          <cell r="AQ94">
            <v>0</v>
          </cell>
          <cell r="AS94">
            <v>0</v>
          </cell>
          <cell r="BI94">
            <v>1</v>
          </cell>
          <cell r="BJ94" t="str">
            <v>Y</v>
          </cell>
          <cell r="BN94" t="str">
            <v>Adult</v>
          </cell>
          <cell r="CJ94" t="str">
            <v>HHNoKids</v>
          </cell>
        </row>
        <row r="95">
          <cell r="B95">
            <v>31</v>
          </cell>
          <cell r="F95">
            <v>40130</v>
          </cell>
          <cell r="H95">
            <v>0</v>
          </cell>
          <cell r="I95">
            <v>0</v>
          </cell>
          <cell r="J95">
            <v>20</v>
          </cell>
          <cell r="L95">
            <v>45212</v>
          </cell>
          <cell r="M95">
            <v>1</v>
          </cell>
          <cell r="N95">
            <v>2</v>
          </cell>
          <cell r="O95">
            <v>4</v>
          </cell>
          <cell r="Q95">
            <v>17</v>
          </cell>
          <cell r="AB95">
            <v>1</v>
          </cell>
          <cell r="AI95">
            <v>85</v>
          </cell>
          <cell r="AK95" t="str">
            <v>ES-FAM</v>
          </cell>
          <cell r="AO95">
            <v>0</v>
          </cell>
          <cell r="AP95">
            <v>0</v>
          </cell>
          <cell r="AQ95">
            <v>0</v>
          </cell>
          <cell r="AS95">
            <v>0</v>
          </cell>
          <cell r="BI95">
            <v>1</v>
          </cell>
          <cell r="BJ95" t="str">
            <v>Y</v>
          </cell>
          <cell r="BN95" t="str">
            <v>Adult</v>
          </cell>
          <cell r="CJ95" t="str">
            <v>HHNoKids</v>
          </cell>
        </row>
        <row r="96">
          <cell r="B96">
            <v>31</v>
          </cell>
          <cell r="F96">
            <v>40130</v>
          </cell>
          <cell r="H96">
            <v>0</v>
          </cell>
          <cell r="I96">
            <v>0</v>
          </cell>
          <cell r="J96">
            <v>20</v>
          </cell>
          <cell r="L96">
            <v>45212</v>
          </cell>
          <cell r="M96">
            <v>1</v>
          </cell>
          <cell r="N96">
            <v>2</v>
          </cell>
          <cell r="O96">
            <v>4</v>
          </cell>
          <cell r="Q96">
            <v>17</v>
          </cell>
          <cell r="AB96">
            <v>1</v>
          </cell>
          <cell r="AI96">
            <v>85</v>
          </cell>
          <cell r="AK96" t="str">
            <v>ES-FAM</v>
          </cell>
          <cell r="AO96">
            <v>0</v>
          </cell>
          <cell r="AP96">
            <v>0</v>
          </cell>
          <cell r="AQ96">
            <v>0</v>
          </cell>
          <cell r="AS96">
            <v>0</v>
          </cell>
          <cell r="BI96">
            <v>1</v>
          </cell>
          <cell r="BJ96" t="str">
            <v>Y</v>
          </cell>
          <cell r="BN96" t="str">
            <v>Adult</v>
          </cell>
          <cell r="CJ96" t="str">
            <v>HHNoKids</v>
          </cell>
        </row>
        <row r="97">
          <cell r="B97">
            <v>31</v>
          </cell>
          <cell r="F97">
            <v>40130</v>
          </cell>
          <cell r="H97">
            <v>0</v>
          </cell>
          <cell r="I97">
            <v>0</v>
          </cell>
          <cell r="J97">
            <v>20</v>
          </cell>
          <cell r="L97">
            <v>45212</v>
          </cell>
          <cell r="M97">
            <v>1</v>
          </cell>
          <cell r="N97">
            <v>2</v>
          </cell>
          <cell r="O97">
            <v>4</v>
          </cell>
          <cell r="Q97">
            <v>17</v>
          </cell>
          <cell r="AB97">
            <v>1</v>
          </cell>
          <cell r="AI97">
            <v>85</v>
          </cell>
          <cell r="AK97" t="str">
            <v>ES-FAM</v>
          </cell>
          <cell r="AO97">
            <v>0</v>
          </cell>
          <cell r="AP97">
            <v>0</v>
          </cell>
          <cell r="AQ97">
            <v>0</v>
          </cell>
          <cell r="AS97">
            <v>0</v>
          </cell>
          <cell r="BI97">
            <v>1</v>
          </cell>
          <cell r="BJ97" t="str">
            <v>Y</v>
          </cell>
          <cell r="BN97" t="str">
            <v>Child</v>
          </cell>
          <cell r="CJ97" t="str">
            <v>HHKidsOnly</v>
          </cell>
        </row>
        <row r="98">
          <cell r="B98">
            <v>31</v>
          </cell>
          <cell r="F98">
            <v>40130</v>
          </cell>
          <cell r="H98">
            <v>0</v>
          </cell>
          <cell r="I98">
            <v>0</v>
          </cell>
          <cell r="J98">
            <v>20</v>
          </cell>
          <cell r="L98">
            <v>45212</v>
          </cell>
          <cell r="M98">
            <v>1</v>
          </cell>
          <cell r="N98">
            <v>2</v>
          </cell>
          <cell r="O98">
            <v>4</v>
          </cell>
          <cell r="Q98">
            <v>17</v>
          </cell>
          <cell r="AB98">
            <v>1</v>
          </cell>
          <cell r="AI98">
            <v>85</v>
          </cell>
          <cell r="AK98" t="str">
            <v>ES-FAM</v>
          </cell>
          <cell r="AO98">
            <v>0</v>
          </cell>
          <cell r="AP98">
            <v>0</v>
          </cell>
          <cell r="AQ98">
            <v>0</v>
          </cell>
          <cell r="AS98">
            <v>0</v>
          </cell>
          <cell r="BI98">
            <v>1</v>
          </cell>
          <cell r="BJ98" t="str">
            <v>Y</v>
          </cell>
          <cell r="BN98" t="str">
            <v>Child</v>
          </cell>
          <cell r="CJ98" t="str">
            <v>HHKidsOnly</v>
          </cell>
        </row>
        <row r="99">
          <cell r="B99">
            <v>31</v>
          </cell>
          <cell r="F99">
            <v>40130</v>
          </cell>
          <cell r="H99">
            <v>0</v>
          </cell>
          <cell r="I99">
            <v>0</v>
          </cell>
          <cell r="J99">
            <v>20</v>
          </cell>
          <cell r="L99">
            <v>45212</v>
          </cell>
          <cell r="M99">
            <v>1</v>
          </cell>
          <cell r="N99">
            <v>2</v>
          </cell>
          <cell r="O99">
            <v>4</v>
          </cell>
          <cell r="Q99">
            <v>17</v>
          </cell>
          <cell r="AB99">
            <v>1</v>
          </cell>
          <cell r="AI99">
            <v>85</v>
          </cell>
          <cell r="AK99" t="str">
            <v>ES-FAM</v>
          </cell>
          <cell r="AO99">
            <v>0</v>
          </cell>
          <cell r="AP99">
            <v>0</v>
          </cell>
          <cell r="AQ99">
            <v>0</v>
          </cell>
          <cell r="AS99">
            <v>0</v>
          </cell>
          <cell r="BI99">
            <v>1</v>
          </cell>
          <cell r="BJ99" t="str">
            <v>Y</v>
          </cell>
          <cell r="BN99" t="str">
            <v>Child</v>
          </cell>
          <cell r="CJ99" t="str">
            <v>HHKidsOnly</v>
          </cell>
        </row>
        <row r="100">
          <cell r="B100">
            <v>31</v>
          </cell>
          <cell r="F100">
            <v>40045</v>
          </cell>
          <cell r="H100">
            <v>0</v>
          </cell>
          <cell r="I100">
            <v>1</v>
          </cell>
          <cell r="J100">
            <v>13</v>
          </cell>
          <cell r="L100">
            <v>45224</v>
          </cell>
          <cell r="M100">
            <v>1</v>
          </cell>
          <cell r="N100">
            <v>2</v>
          </cell>
          <cell r="O100">
            <v>4</v>
          </cell>
          <cell r="Q100">
            <v>22</v>
          </cell>
          <cell r="AB100">
            <v>1</v>
          </cell>
          <cell r="AI100">
            <v>50</v>
          </cell>
          <cell r="AK100" t="str">
            <v>ES-IND</v>
          </cell>
          <cell r="AO100">
            <v>0</v>
          </cell>
          <cell r="AP100">
            <v>0</v>
          </cell>
          <cell r="AQ100">
            <v>0</v>
          </cell>
          <cell r="AS100">
            <v>0</v>
          </cell>
          <cell r="BI100">
            <v>1</v>
          </cell>
          <cell r="BJ100" t="str">
            <v>Y</v>
          </cell>
          <cell r="BN100" t="str">
            <v>Adult</v>
          </cell>
          <cell r="CJ100" t="str">
            <v>HHNoKids</v>
          </cell>
        </row>
        <row r="101">
          <cell r="B101">
            <v>31</v>
          </cell>
          <cell r="H101">
            <v>9</v>
          </cell>
          <cell r="J101">
            <v>12</v>
          </cell>
          <cell r="L101">
            <v>45231</v>
          </cell>
          <cell r="M101">
            <v>1</v>
          </cell>
          <cell r="N101">
            <v>3</v>
          </cell>
          <cell r="AB101">
            <v>1</v>
          </cell>
          <cell r="AI101">
            <v>183</v>
          </cell>
          <cell r="AK101" t="str">
            <v>ES-FAM</v>
          </cell>
          <cell r="AO101">
            <v>0</v>
          </cell>
          <cell r="AP101">
            <v>0</v>
          </cell>
          <cell r="AQ101">
            <v>0</v>
          </cell>
          <cell r="AS101">
            <v>0</v>
          </cell>
          <cell r="BI101">
            <v>1</v>
          </cell>
          <cell r="BJ101" t="str">
            <v>Y</v>
          </cell>
          <cell r="BN101" t="str">
            <v>Adult</v>
          </cell>
          <cell r="CJ101" t="str">
            <v>HHNoKids</v>
          </cell>
        </row>
        <row r="102">
          <cell r="B102">
            <v>31</v>
          </cell>
          <cell r="H102">
            <v>9</v>
          </cell>
          <cell r="J102">
            <v>12</v>
          </cell>
          <cell r="L102">
            <v>45231</v>
          </cell>
          <cell r="M102">
            <v>1</v>
          </cell>
          <cell r="N102">
            <v>3</v>
          </cell>
          <cell r="AB102">
            <v>1</v>
          </cell>
          <cell r="AI102">
            <v>170</v>
          </cell>
          <cell r="AK102" t="str">
            <v>ES-FAM</v>
          </cell>
          <cell r="AO102">
            <v>0</v>
          </cell>
          <cell r="AP102">
            <v>0</v>
          </cell>
          <cell r="AQ102">
            <v>0</v>
          </cell>
          <cell r="AS102">
            <v>0</v>
          </cell>
          <cell r="BI102">
            <v>1</v>
          </cell>
          <cell r="BJ102" t="str">
            <v>Y</v>
          </cell>
          <cell r="BN102" t="str">
            <v>Child</v>
          </cell>
          <cell r="CJ102" t="str">
            <v>HHKidsOnly</v>
          </cell>
        </row>
        <row r="103">
          <cell r="B103">
            <v>31</v>
          </cell>
          <cell r="H103">
            <v>9</v>
          </cell>
          <cell r="J103">
            <v>12</v>
          </cell>
          <cell r="L103">
            <v>45231</v>
          </cell>
          <cell r="M103">
            <v>1</v>
          </cell>
          <cell r="N103">
            <v>3</v>
          </cell>
          <cell r="AB103">
            <v>1</v>
          </cell>
          <cell r="AI103">
            <v>183</v>
          </cell>
          <cell r="AK103" t="str">
            <v>ES-FAM</v>
          </cell>
          <cell r="AO103">
            <v>0</v>
          </cell>
          <cell r="AP103">
            <v>0</v>
          </cell>
          <cell r="AQ103">
            <v>0</v>
          </cell>
          <cell r="AS103">
            <v>0</v>
          </cell>
          <cell r="BI103">
            <v>1</v>
          </cell>
          <cell r="BJ103" t="str">
            <v>Y</v>
          </cell>
          <cell r="BN103" t="str">
            <v>Child</v>
          </cell>
          <cell r="CJ103" t="str">
            <v>HHKidsOnly</v>
          </cell>
        </row>
        <row r="104">
          <cell r="B104">
            <v>31</v>
          </cell>
          <cell r="F104">
            <v>40148</v>
          </cell>
          <cell r="H104">
            <v>0</v>
          </cell>
          <cell r="I104">
            <v>1</v>
          </cell>
          <cell r="J104">
            <v>22</v>
          </cell>
          <cell r="L104">
            <v>45225</v>
          </cell>
          <cell r="M104">
            <v>1</v>
          </cell>
          <cell r="N104">
            <v>3</v>
          </cell>
          <cell r="O104">
            <v>4</v>
          </cell>
          <cell r="Q104">
            <v>10</v>
          </cell>
          <cell r="AB104">
            <v>1</v>
          </cell>
          <cell r="AI104">
            <v>90</v>
          </cell>
          <cell r="AK104" t="str">
            <v>ES-FAM</v>
          </cell>
          <cell r="AO104">
            <v>0</v>
          </cell>
          <cell r="AP104">
            <v>0</v>
          </cell>
          <cell r="AQ104">
            <v>0</v>
          </cell>
          <cell r="AS104">
            <v>0</v>
          </cell>
          <cell r="BI104">
            <v>1</v>
          </cell>
          <cell r="BJ104" t="str">
            <v>Y</v>
          </cell>
          <cell r="BN104" t="str">
            <v>Adult</v>
          </cell>
          <cell r="CJ104" t="str">
            <v>HHNoKids</v>
          </cell>
        </row>
        <row r="105">
          <cell r="B105">
            <v>31</v>
          </cell>
          <cell r="F105">
            <v>40148</v>
          </cell>
          <cell r="H105">
            <v>0</v>
          </cell>
          <cell r="I105">
            <v>1</v>
          </cell>
          <cell r="J105">
            <v>22</v>
          </cell>
          <cell r="L105">
            <v>45225</v>
          </cell>
          <cell r="M105">
            <v>1</v>
          </cell>
          <cell r="N105">
            <v>3</v>
          </cell>
          <cell r="O105">
            <v>4</v>
          </cell>
          <cell r="Q105">
            <v>10</v>
          </cell>
          <cell r="AB105">
            <v>1</v>
          </cell>
          <cell r="AI105">
            <v>90</v>
          </cell>
          <cell r="AK105" t="str">
            <v>ES-FAM</v>
          </cell>
          <cell r="AO105">
            <v>0</v>
          </cell>
          <cell r="AP105">
            <v>0</v>
          </cell>
          <cell r="AQ105">
            <v>0</v>
          </cell>
          <cell r="AS105">
            <v>0</v>
          </cell>
          <cell r="BI105">
            <v>1</v>
          </cell>
          <cell r="BJ105" t="str">
            <v>Y</v>
          </cell>
          <cell r="BN105" t="str">
            <v>Adult</v>
          </cell>
          <cell r="CJ105" t="str">
            <v>HHNoKids</v>
          </cell>
        </row>
        <row r="106">
          <cell r="B106">
            <v>31</v>
          </cell>
          <cell r="F106">
            <v>40148</v>
          </cell>
          <cell r="H106">
            <v>0</v>
          </cell>
          <cell r="I106">
            <v>0</v>
          </cell>
          <cell r="J106">
            <v>22</v>
          </cell>
          <cell r="L106">
            <v>45225</v>
          </cell>
          <cell r="M106">
            <v>1</v>
          </cell>
          <cell r="N106">
            <v>3</v>
          </cell>
          <cell r="O106">
            <v>4</v>
          </cell>
          <cell r="Q106">
            <v>10</v>
          </cell>
          <cell r="AB106">
            <v>1</v>
          </cell>
          <cell r="AI106">
            <v>90</v>
          </cell>
          <cell r="AK106" t="str">
            <v>ES-FAM</v>
          </cell>
          <cell r="AO106">
            <v>0</v>
          </cell>
          <cell r="AP106">
            <v>0</v>
          </cell>
          <cell r="AQ106">
            <v>0</v>
          </cell>
          <cell r="AS106">
            <v>0</v>
          </cell>
          <cell r="BI106">
            <v>1</v>
          </cell>
          <cell r="BJ106" t="str">
            <v>Y</v>
          </cell>
          <cell r="BN106" t="str">
            <v>Child</v>
          </cell>
          <cell r="CJ106" t="str">
            <v>HHKidsOnly</v>
          </cell>
        </row>
        <row r="107">
          <cell r="B107">
            <v>31</v>
          </cell>
          <cell r="F107">
            <v>40048</v>
          </cell>
          <cell r="H107">
            <v>0</v>
          </cell>
          <cell r="I107">
            <v>0</v>
          </cell>
          <cell r="J107">
            <v>20</v>
          </cell>
          <cell r="L107">
            <v>45240</v>
          </cell>
          <cell r="M107">
            <v>1</v>
          </cell>
          <cell r="N107">
            <v>2</v>
          </cell>
          <cell r="O107">
            <v>4</v>
          </cell>
          <cell r="Q107">
            <v>20</v>
          </cell>
          <cell r="AB107">
            <v>1</v>
          </cell>
          <cell r="AI107">
            <v>138</v>
          </cell>
          <cell r="AK107" t="str">
            <v>ES-FAM</v>
          </cell>
          <cell r="AO107">
            <v>0</v>
          </cell>
          <cell r="AP107">
            <v>0</v>
          </cell>
          <cell r="AQ107">
            <v>1</v>
          </cell>
          <cell r="AS107">
            <v>1</v>
          </cell>
          <cell r="BI107">
            <v>1</v>
          </cell>
          <cell r="BJ107" t="str">
            <v>Y</v>
          </cell>
          <cell r="BN107" t="str">
            <v>Adult</v>
          </cell>
          <cell r="CJ107" t="str">
            <v>HHNoKids</v>
          </cell>
        </row>
        <row r="108">
          <cell r="B108">
            <v>31</v>
          </cell>
          <cell r="F108">
            <v>40048</v>
          </cell>
          <cell r="H108">
            <v>0</v>
          </cell>
          <cell r="I108">
            <v>0</v>
          </cell>
          <cell r="J108">
            <v>20</v>
          </cell>
          <cell r="L108">
            <v>45240</v>
          </cell>
          <cell r="M108">
            <v>1</v>
          </cell>
          <cell r="N108">
            <v>2</v>
          </cell>
          <cell r="O108">
            <v>4</v>
          </cell>
          <cell r="Q108">
            <v>20</v>
          </cell>
          <cell r="AB108">
            <v>1</v>
          </cell>
          <cell r="AI108">
            <v>138</v>
          </cell>
          <cell r="AK108" t="str">
            <v>ES-FAM</v>
          </cell>
          <cell r="AO108">
            <v>0</v>
          </cell>
          <cell r="AP108">
            <v>0</v>
          </cell>
          <cell r="AQ108">
            <v>1</v>
          </cell>
          <cell r="AS108">
            <v>1</v>
          </cell>
          <cell r="BI108">
            <v>1</v>
          </cell>
          <cell r="BJ108" t="str">
            <v>Y</v>
          </cell>
          <cell r="BN108" t="str">
            <v>Child</v>
          </cell>
          <cell r="CJ108" t="str">
            <v>HHKidsOnly</v>
          </cell>
        </row>
        <row r="109">
          <cell r="B109">
            <v>31</v>
          </cell>
          <cell r="F109">
            <v>40048</v>
          </cell>
          <cell r="H109">
            <v>0</v>
          </cell>
          <cell r="J109">
            <v>20</v>
          </cell>
          <cell r="L109">
            <v>45240</v>
          </cell>
          <cell r="M109">
            <v>1</v>
          </cell>
          <cell r="N109">
            <v>2</v>
          </cell>
          <cell r="AB109">
            <v>1</v>
          </cell>
          <cell r="AI109">
            <v>138</v>
          </cell>
          <cell r="AK109" t="str">
            <v>ES-FAM</v>
          </cell>
          <cell r="AO109">
            <v>0</v>
          </cell>
          <cell r="AP109">
            <v>0</v>
          </cell>
          <cell r="AQ109">
            <v>1</v>
          </cell>
          <cell r="AS109">
            <v>1</v>
          </cell>
          <cell r="BI109">
            <v>1</v>
          </cell>
          <cell r="BJ109" t="str">
            <v>Y</v>
          </cell>
          <cell r="BN109" t="str">
            <v>Child</v>
          </cell>
          <cell r="CJ109" t="str">
            <v>HHKidsOnly</v>
          </cell>
        </row>
        <row r="110">
          <cell r="B110">
            <v>31</v>
          </cell>
          <cell r="F110">
            <v>40165</v>
          </cell>
          <cell r="H110">
            <v>0</v>
          </cell>
          <cell r="I110">
            <v>1</v>
          </cell>
          <cell r="J110">
            <v>20</v>
          </cell>
          <cell r="L110">
            <v>45223</v>
          </cell>
          <cell r="M110">
            <v>1</v>
          </cell>
          <cell r="N110">
            <v>2</v>
          </cell>
          <cell r="O110">
            <v>4</v>
          </cell>
          <cell r="Q110">
            <v>10</v>
          </cell>
          <cell r="AB110">
            <v>1</v>
          </cell>
          <cell r="AI110">
            <v>92</v>
          </cell>
          <cell r="AK110" t="str">
            <v>ES-IND</v>
          </cell>
          <cell r="AO110">
            <v>0</v>
          </cell>
          <cell r="AP110">
            <v>0</v>
          </cell>
          <cell r="AQ110">
            <v>0</v>
          </cell>
          <cell r="AS110">
            <v>0</v>
          </cell>
          <cell r="BI110">
            <v>1</v>
          </cell>
          <cell r="BJ110" t="str">
            <v>Y</v>
          </cell>
          <cell r="BN110" t="str">
            <v>Adult</v>
          </cell>
          <cell r="CJ110" t="str">
            <v>HHNoKids</v>
          </cell>
        </row>
        <row r="111">
          <cell r="B111">
            <v>31</v>
          </cell>
          <cell r="F111">
            <v>40120</v>
          </cell>
          <cell r="H111">
            <v>0</v>
          </cell>
          <cell r="I111">
            <v>0</v>
          </cell>
          <cell r="J111">
            <v>12</v>
          </cell>
          <cell r="L111">
            <v>45227</v>
          </cell>
          <cell r="M111">
            <v>1</v>
          </cell>
          <cell r="N111">
            <v>2</v>
          </cell>
          <cell r="O111">
            <v>2</v>
          </cell>
          <cell r="Q111">
            <v>12</v>
          </cell>
          <cell r="AB111">
            <v>1</v>
          </cell>
          <cell r="AI111">
            <v>72</v>
          </cell>
          <cell r="AK111" t="str">
            <v>ES-FAM</v>
          </cell>
          <cell r="AO111">
            <v>0</v>
          </cell>
          <cell r="AP111">
            <v>0</v>
          </cell>
          <cell r="AQ111">
            <v>0</v>
          </cell>
          <cell r="AS111">
            <v>0</v>
          </cell>
          <cell r="BI111">
            <v>1</v>
          </cell>
          <cell r="BJ111" t="str">
            <v>Y</v>
          </cell>
          <cell r="BN111" t="str">
            <v>Adult</v>
          </cell>
          <cell r="CJ111" t="str">
            <v>HHNoKids</v>
          </cell>
        </row>
        <row r="112">
          <cell r="B112">
            <v>31</v>
          </cell>
          <cell r="F112">
            <v>40120</v>
          </cell>
          <cell r="H112">
            <v>0</v>
          </cell>
          <cell r="I112">
            <v>0</v>
          </cell>
          <cell r="J112">
            <v>12</v>
          </cell>
          <cell r="L112">
            <v>45227</v>
          </cell>
          <cell r="M112">
            <v>1</v>
          </cell>
          <cell r="N112">
            <v>2</v>
          </cell>
          <cell r="O112">
            <v>2</v>
          </cell>
          <cell r="Q112">
            <v>12</v>
          </cell>
          <cell r="AB112">
            <v>1</v>
          </cell>
          <cell r="AI112">
            <v>41</v>
          </cell>
          <cell r="AK112" t="str">
            <v>ES-FAM</v>
          </cell>
          <cell r="AO112">
            <v>0</v>
          </cell>
          <cell r="AP112">
            <v>0</v>
          </cell>
          <cell r="AQ112">
            <v>0</v>
          </cell>
          <cell r="AS112">
            <v>0</v>
          </cell>
          <cell r="BI112">
            <v>1</v>
          </cell>
          <cell r="BJ112" t="str">
            <v>Y</v>
          </cell>
          <cell r="BN112" t="str">
            <v>Adult</v>
          </cell>
          <cell r="CJ112" t="str">
            <v>HHNoKids</v>
          </cell>
        </row>
        <row r="113">
          <cell r="B113">
            <v>31</v>
          </cell>
          <cell r="F113">
            <v>40120</v>
          </cell>
          <cell r="H113">
            <v>0</v>
          </cell>
          <cell r="I113">
            <v>1</v>
          </cell>
          <cell r="J113">
            <v>12</v>
          </cell>
          <cell r="L113">
            <v>45227</v>
          </cell>
          <cell r="M113">
            <v>1</v>
          </cell>
          <cell r="N113">
            <v>2</v>
          </cell>
          <cell r="O113">
            <v>2</v>
          </cell>
          <cell r="Q113">
            <v>12</v>
          </cell>
          <cell r="AB113">
            <v>1</v>
          </cell>
          <cell r="AI113">
            <v>41</v>
          </cell>
          <cell r="AK113" t="str">
            <v>ES-FAM</v>
          </cell>
          <cell r="AO113">
            <v>0</v>
          </cell>
          <cell r="AP113">
            <v>0</v>
          </cell>
          <cell r="AQ113">
            <v>0</v>
          </cell>
          <cell r="AS113">
            <v>0</v>
          </cell>
          <cell r="BI113">
            <v>1</v>
          </cell>
          <cell r="BJ113" t="str">
            <v>Y</v>
          </cell>
          <cell r="BN113" t="str">
            <v>Child</v>
          </cell>
          <cell r="CJ113" t="str">
            <v>HHKidsOnly</v>
          </cell>
        </row>
        <row r="114">
          <cell r="B114">
            <v>31</v>
          </cell>
          <cell r="F114">
            <v>40211</v>
          </cell>
          <cell r="H114">
            <v>0</v>
          </cell>
          <cell r="J114">
            <v>3</v>
          </cell>
          <cell r="L114">
            <v>45202</v>
          </cell>
          <cell r="M114">
            <v>1</v>
          </cell>
          <cell r="N114">
            <v>2</v>
          </cell>
          <cell r="AB114">
            <v>1</v>
          </cell>
          <cell r="AI114">
            <v>59</v>
          </cell>
          <cell r="AK114" t="str">
            <v>ES-FAM</v>
          </cell>
          <cell r="AO114">
            <v>0</v>
          </cell>
          <cell r="AP114">
            <v>0</v>
          </cell>
          <cell r="AQ114">
            <v>0</v>
          </cell>
          <cell r="AS114">
            <v>0</v>
          </cell>
          <cell r="BI114">
            <v>1</v>
          </cell>
          <cell r="BJ114" t="str">
            <v>Y</v>
          </cell>
          <cell r="BN114" t="str">
            <v>Adult</v>
          </cell>
          <cell r="CJ114" t="str">
            <v>HHNoKids</v>
          </cell>
        </row>
        <row r="115">
          <cell r="B115">
            <v>31</v>
          </cell>
          <cell r="F115">
            <v>40211</v>
          </cell>
          <cell r="H115">
            <v>0</v>
          </cell>
          <cell r="J115">
            <v>3</v>
          </cell>
          <cell r="L115">
            <v>45202</v>
          </cell>
          <cell r="M115">
            <v>1</v>
          </cell>
          <cell r="N115">
            <v>2</v>
          </cell>
          <cell r="AB115">
            <v>1</v>
          </cell>
          <cell r="AI115">
            <v>59</v>
          </cell>
          <cell r="AK115" t="str">
            <v>ES-FAM</v>
          </cell>
          <cell r="AO115">
            <v>0</v>
          </cell>
          <cell r="AP115">
            <v>0</v>
          </cell>
          <cell r="AQ115">
            <v>0</v>
          </cell>
          <cell r="AS115">
            <v>0</v>
          </cell>
          <cell r="BI115">
            <v>1</v>
          </cell>
          <cell r="BJ115" t="str">
            <v>Y</v>
          </cell>
          <cell r="BN115" t="str">
            <v>Adult</v>
          </cell>
          <cell r="CJ115" t="str">
            <v>HHNoKids</v>
          </cell>
        </row>
        <row r="116">
          <cell r="B116">
            <v>31</v>
          </cell>
          <cell r="F116">
            <v>40211</v>
          </cell>
          <cell r="H116">
            <v>0</v>
          </cell>
          <cell r="J116">
            <v>3</v>
          </cell>
          <cell r="L116">
            <v>45202</v>
          </cell>
          <cell r="M116">
            <v>1</v>
          </cell>
          <cell r="N116">
            <v>2</v>
          </cell>
          <cell r="AB116">
            <v>1</v>
          </cell>
          <cell r="AI116">
            <v>59</v>
          </cell>
          <cell r="AK116" t="str">
            <v>ES-FAM</v>
          </cell>
          <cell r="AO116">
            <v>0</v>
          </cell>
          <cell r="AP116">
            <v>0</v>
          </cell>
          <cell r="AQ116">
            <v>0</v>
          </cell>
          <cell r="AS116">
            <v>0</v>
          </cell>
          <cell r="BI116">
            <v>1</v>
          </cell>
          <cell r="BJ116" t="str">
            <v>Y</v>
          </cell>
          <cell r="BN116" t="str">
            <v>Child</v>
          </cell>
          <cell r="CJ116" t="str">
            <v>HHKidsOnly</v>
          </cell>
        </row>
        <row r="117">
          <cell r="B117">
            <v>31</v>
          </cell>
          <cell r="F117">
            <v>40211</v>
          </cell>
          <cell r="H117">
            <v>0</v>
          </cell>
          <cell r="J117">
            <v>3</v>
          </cell>
          <cell r="L117">
            <v>45202</v>
          </cell>
          <cell r="M117">
            <v>1</v>
          </cell>
          <cell r="N117">
            <v>2</v>
          </cell>
          <cell r="AB117">
            <v>1</v>
          </cell>
          <cell r="AI117">
            <v>59</v>
          </cell>
          <cell r="AK117" t="str">
            <v>ES-FAM</v>
          </cell>
          <cell r="AO117">
            <v>0</v>
          </cell>
          <cell r="AP117">
            <v>0</v>
          </cell>
          <cell r="AQ117">
            <v>0</v>
          </cell>
          <cell r="AS117">
            <v>0</v>
          </cell>
          <cell r="BI117">
            <v>1</v>
          </cell>
          <cell r="BJ117" t="str">
            <v>Y</v>
          </cell>
          <cell r="BN117" t="str">
            <v>Child</v>
          </cell>
          <cell r="CJ117" t="str">
            <v>HHKidsOnly</v>
          </cell>
        </row>
        <row r="118">
          <cell r="B118">
            <v>31</v>
          </cell>
          <cell r="F118">
            <v>40211</v>
          </cell>
          <cell r="H118">
            <v>0</v>
          </cell>
          <cell r="J118">
            <v>3</v>
          </cell>
          <cell r="L118">
            <v>45202</v>
          </cell>
          <cell r="M118">
            <v>1</v>
          </cell>
          <cell r="N118">
            <v>2</v>
          </cell>
          <cell r="AB118">
            <v>1</v>
          </cell>
          <cell r="AI118">
            <v>59</v>
          </cell>
          <cell r="AK118" t="str">
            <v>ES-FAM</v>
          </cell>
          <cell r="AO118">
            <v>0</v>
          </cell>
          <cell r="AP118">
            <v>0</v>
          </cell>
          <cell r="AQ118">
            <v>0</v>
          </cell>
          <cell r="AS118">
            <v>0</v>
          </cell>
          <cell r="BI118">
            <v>1</v>
          </cell>
          <cell r="BJ118" t="str">
            <v>Y</v>
          </cell>
          <cell r="BN118" t="str">
            <v>Child</v>
          </cell>
          <cell r="CJ118" t="str">
            <v>HHKidsOnly</v>
          </cell>
        </row>
        <row r="119">
          <cell r="B119">
            <v>31</v>
          </cell>
          <cell r="F119">
            <v>40211</v>
          </cell>
          <cell r="H119">
            <v>0</v>
          </cell>
          <cell r="J119">
            <v>3</v>
          </cell>
          <cell r="L119">
            <v>45202</v>
          </cell>
          <cell r="M119">
            <v>1</v>
          </cell>
          <cell r="N119">
            <v>2</v>
          </cell>
          <cell r="AB119">
            <v>1</v>
          </cell>
          <cell r="AI119">
            <v>59</v>
          </cell>
          <cell r="AK119" t="str">
            <v>ES-FAM</v>
          </cell>
          <cell r="AO119">
            <v>0</v>
          </cell>
          <cell r="AP119">
            <v>0</v>
          </cell>
          <cell r="AQ119">
            <v>0</v>
          </cell>
          <cell r="AS119">
            <v>0</v>
          </cell>
          <cell r="BI119">
            <v>1</v>
          </cell>
          <cell r="BJ119" t="str">
            <v>Y</v>
          </cell>
          <cell r="BN119" t="str">
            <v>Child</v>
          </cell>
          <cell r="CJ119" t="str">
            <v>HHKidsOnly</v>
          </cell>
        </row>
        <row r="120">
          <cell r="B120">
            <v>31</v>
          </cell>
          <cell r="F120">
            <v>40148</v>
          </cell>
          <cell r="H120">
            <v>0</v>
          </cell>
          <cell r="I120">
            <v>0</v>
          </cell>
          <cell r="J120">
            <v>22</v>
          </cell>
          <cell r="L120">
            <v>45225</v>
          </cell>
          <cell r="M120">
            <v>1</v>
          </cell>
          <cell r="N120">
            <v>3</v>
          </cell>
          <cell r="O120">
            <v>4</v>
          </cell>
          <cell r="Q120">
            <v>10</v>
          </cell>
          <cell r="AB120">
            <v>1</v>
          </cell>
          <cell r="AI120">
            <v>61</v>
          </cell>
          <cell r="AK120" t="str">
            <v>ES-FAM</v>
          </cell>
          <cell r="AO120">
            <v>0</v>
          </cell>
          <cell r="AP120">
            <v>0</v>
          </cell>
          <cell r="AQ120">
            <v>0</v>
          </cell>
          <cell r="AS120">
            <v>0</v>
          </cell>
          <cell r="BI120">
            <v>1</v>
          </cell>
          <cell r="BJ120" t="str">
            <v>Y</v>
          </cell>
          <cell r="BN120" t="str">
            <v>Adult</v>
          </cell>
          <cell r="CJ120" t="str">
            <v>HHNoKids</v>
          </cell>
        </row>
        <row r="121">
          <cell r="B121">
            <v>31</v>
          </cell>
          <cell r="F121">
            <v>40240</v>
          </cell>
          <cell r="H121">
            <v>0</v>
          </cell>
          <cell r="J121">
            <v>22</v>
          </cell>
          <cell r="L121">
            <v>45238</v>
          </cell>
          <cell r="M121">
            <v>1</v>
          </cell>
          <cell r="N121">
            <v>2</v>
          </cell>
          <cell r="AB121">
            <v>1</v>
          </cell>
          <cell r="AI121">
            <v>29</v>
          </cell>
          <cell r="AK121" t="str">
            <v>ES-FAM</v>
          </cell>
          <cell r="AO121">
            <v>0</v>
          </cell>
          <cell r="AP121">
            <v>0</v>
          </cell>
          <cell r="AQ121">
            <v>0</v>
          </cell>
          <cell r="AS121">
            <v>0</v>
          </cell>
          <cell r="BI121">
            <v>1</v>
          </cell>
          <cell r="BJ121" t="str">
            <v>Y</v>
          </cell>
          <cell r="BN121" t="str">
            <v>Adult</v>
          </cell>
          <cell r="CJ121" t="str">
            <v>HHNoKids</v>
          </cell>
        </row>
        <row r="122">
          <cell r="B122">
            <v>31</v>
          </cell>
          <cell r="F122">
            <v>40240</v>
          </cell>
          <cell r="H122">
            <v>0</v>
          </cell>
          <cell r="J122">
            <v>22</v>
          </cell>
          <cell r="L122">
            <v>45238</v>
          </cell>
          <cell r="M122">
            <v>1</v>
          </cell>
          <cell r="N122">
            <v>2</v>
          </cell>
          <cell r="AB122">
            <v>1</v>
          </cell>
          <cell r="AI122">
            <v>29</v>
          </cell>
          <cell r="AK122" t="str">
            <v>ES-FAM</v>
          </cell>
          <cell r="AO122">
            <v>0</v>
          </cell>
          <cell r="AP122">
            <v>0</v>
          </cell>
          <cell r="AQ122">
            <v>0</v>
          </cell>
          <cell r="AS122">
            <v>0</v>
          </cell>
          <cell r="BI122">
            <v>1</v>
          </cell>
          <cell r="BJ122" t="str">
            <v>Y</v>
          </cell>
          <cell r="BN122" t="str">
            <v>Adult</v>
          </cell>
          <cell r="CJ122" t="str">
            <v>HHNoKids</v>
          </cell>
        </row>
        <row r="123">
          <cell r="B123">
            <v>31</v>
          </cell>
          <cell r="F123">
            <v>40240</v>
          </cell>
          <cell r="H123">
            <v>0</v>
          </cell>
          <cell r="J123">
            <v>22</v>
          </cell>
          <cell r="L123">
            <v>45238</v>
          </cell>
          <cell r="M123">
            <v>1</v>
          </cell>
          <cell r="N123">
            <v>2</v>
          </cell>
          <cell r="AB123">
            <v>1</v>
          </cell>
          <cell r="AI123">
            <v>29</v>
          </cell>
          <cell r="AK123" t="str">
            <v>ES-FAM</v>
          </cell>
          <cell r="AO123">
            <v>0</v>
          </cell>
          <cell r="AP123">
            <v>0</v>
          </cell>
          <cell r="AQ123">
            <v>0</v>
          </cell>
          <cell r="AS123">
            <v>0</v>
          </cell>
          <cell r="BI123">
            <v>1</v>
          </cell>
          <cell r="BJ123" t="str">
            <v>Y</v>
          </cell>
          <cell r="BN123" t="str">
            <v>Adult</v>
          </cell>
          <cell r="CJ123" t="str">
            <v>HHNoKids</v>
          </cell>
        </row>
        <row r="124">
          <cell r="B124">
            <v>31</v>
          </cell>
          <cell r="F124">
            <v>39904</v>
          </cell>
          <cell r="H124">
            <v>1</v>
          </cell>
          <cell r="I124">
            <v>1</v>
          </cell>
          <cell r="J124">
            <v>1</v>
          </cell>
          <cell r="L124">
            <v>45204</v>
          </cell>
          <cell r="M124">
            <v>1</v>
          </cell>
          <cell r="N124">
            <v>1</v>
          </cell>
          <cell r="O124">
            <v>4</v>
          </cell>
          <cell r="Q124">
            <v>17</v>
          </cell>
          <cell r="AB124">
            <v>1</v>
          </cell>
          <cell r="AI124">
            <v>48</v>
          </cell>
          <cell r="AK124" t="str">
            <v>ES-IND</v>
          </cell>
          <cell r="AO124">
            <v>0</v>
          </cell>
          <cell r="AP124">
            <v>0</v>
          </cell>
          <cell r="AQ124">
            <v>0</v>
          </cell>
          <cell r="AS124">
            <v>1</v>
          </cell>
          <cell r="BI124">
            <v>1</v>
          </cell>
          <cell r="BJ124" t="str">
            <v>Y</v>
          </cell>
          <cell r="BN124" t="str">
            <v>Adult</v>
          </cell>
          <cell r="CJ124" t="str">
            <v>HHNoKids</v>
          </cell>
        </row>
        <row r="125">
          <cell r="B125">
            <v>31</v>
          </cell>
          <cell r="F125">
            <v>40199</v>
          </cell>
          <cell r="H125">
            <v>0</v>
          </cell>
          <cell r="J125">
            <v>12</v>
          </cell>
          <cell r="L125">
            <v>45207</v>
          </cell>
          <cell r="M125">
            <v>1</v>
          </cell>
          <cell r="N125">
            <v>2</v>
          </cell>
          <cell r="AB125">
            <v>1</v>
          </cell>
          <cell r="AI125">
            <v>18</v>
          </cell>
          <cell r="AK125" t="str">
            <v>ES-FAM</v>
          </cell>
          <cell r="AO125">
            <v>0</v>
          </cell>
          <cell r="AP125">
            <v>0</v>
          </cell>
          <cell r="AQ125">
            <v>0</v>
          </cell>
          <cell r="AS125">
            <v>0</v>
          </cell>
          <cell r="BI125">
            <v>1</v>
          </cell>
          <cell r="BJ125" t="str">
            <v>Y</v>
          </cell>
          <cell r="BN125" t="str">
            <v>Adult</v>
          </cell>
          <cell r="CJ125" t="str">
            <v>HHNoKids</v>
          </cell>
        </row>
        <row r="126">
          <cell r="B126">
            <v>31</v>
          </cell>
          <cell r="F126">
            <v>40199</v>
          </cell>
          <cell r="H126">
            <v>0</v>
          </cell>
          <cell r="J126">
            <v>12</v>
          </cell>
          <cell r="L126">
            <v>45207</v>
          </cell>
          <cell r="M126">
            <v>1</v>
          </cell>
          <cell r="N126">
            <v>2</v>
          </cell>
          <cell r="AB126">
            <v>1</v>
          </cell>
          <cell r="AI126">
            <v>18</v>
          </cell>
          <cell r="AK126" t="str">
            <v>ES-FAM</v>
          </cell>
          <cell r="AO126">
            <v>0</v>
          </cell>
          <cell r="AP126">
            <v>0</v>
          </cell>
          <cell r="AQ126">
            <v>0</v>
          </cell>
          <cell r="AS126">
            <v>0</v>
          </cell>
          <cell r="BI126">
            <v>1</v>
          </cell>
          <cell r="BJ126" t="str">
            <v>Y</v>
          </cell>
          <cell r="BN126" t="str">
            <v>Child</v>
          </cell>
          <cell r="CJ126" t="str">
            <v>HHKidsOnly</v>
          </cell>
        </row>
        <row r="127">
          <cell r="B127">
            <v>31</v>
          </cell>
          <cell r="F127">
            <v>40199</v>
          </cell>
          <cell r="H127">
            <v>0</v>
          </cell>
          <cell r="J127">
            <v>12</v>
          </cell>
          <cell r="L127">
            <v>45207</v>
          </cell>
          <cell r="M127">
            <v>1</v>
          </cell>
          <cell r="N127">
            <v>2</v>
          </cell>
          <cell r="AB127">
            <v>1</v>
          </cell>
          <cell r="AI127">
            <v>18</v>
          </cell>
          <cell r="AK127" t="str">
            <v>ES-FAM</v>
          </cell>
          <cell r="AO127">
            <v>0</v>
          </cell>
          <cell r="AP127">
            <v>0</v>
          </cell>
          <cell r="AQ127">
            <v>0</v>
          </cell>
          <cell r="AS127">
            <v>0</v>
          </cell>
          <cell r="BI127">
            <v>1</v>
          </cell>
          <cell r="BJ127" t="str">
            <v>Y</v>
          </cell>
          <cell r="BN127" t="str">
            <v>Child</v>
          </cell>
          <cell r="CJ127" t="str">
            <v>HHKidsOnly</v>
          </cell>
        </row>
        <row r="128">
          <cell r="B128">
            <v>31</v>
          </cell>
          <cell r="F128">
            <v>40206</v>
          </cell>
          <cell r="H128">
            <v>0</v>
          </cell>
          <cell r="J128">
            <v>22</v>
          </cell>
          <cell r="L128">
            <v>45237</v>
          </cell>
          <cell r="M128">
            <v>1</v>
          </cell>
          <cell r="N128">
            <v>2</v>
          </cell>
          <cell r="AB128">
            <v>1</v>
          </cell>
          <cell r="AI128">
            <v>23</v>
          </cell>
          <cell r="AK128" t="str">
            <v>ES-IND</v>
          </cell>
          <cell r="AO128">
            <v>0</v>
          </cell>
          <cell r="AP128">
            <v>0</v>
          </cell>
          <cell r="AQ128">
            <v>0</v>
          </cell>
          <cell r="AS128">
            <v>0</v>
          </cell>
          <cell r="BI128">
            <v>1</v>
          </cell>
          <cell r="BJ128" t="str">
            <v>Y</v>
          </cell>
          <cell r="BN128" t="str">
            <v>Adult</v>
          </cell>
          <cell r="CJ128" t="str">
            <v>HHNoKids</v>
          </cell>
        </row>
        <row r="129">
          <cell r="B129">
            <v>31</v>
          </cell>
          <cell r="F129">
            <v>40246</v>
          </cell>
          <cell r="H129">
            <v>0</v>
          </cell>
          <cell r="J129">
            <v>22</v>
          </cell>
          <cell r="L129">
            <v>45216</v>
          </cell>
          <cell r="M129">
            <v>1</v>
          </cell>
          <cell r="N129">
            <v>2</v>
          </cell>
          <cell r="AB129">
            <v>1</v>
          </cell>
          <cell r="AI129">
            <v>84</v>
          </cell>
          <cell r="AK129" t="str">
            <v>ES-FAM</v>
          </cell>
          <cell r="AO129">
            <v>0</v>
          </cell>
          <cell r="AP129">
            <v>0</v>
          </cell>
          <cell r="AQ129">
            <v>0</v>
          </cell>
          <cell r="AS129">
            <v>0</v>
          </cell>
          <cell r="BI129">
            <v>1</v>
          </cell>
          <cell r="BJ129" t="str">
            <v>Y</v>
          </cell>
          <cell r="BN129" t="str">
            <v>Adult</v>
          </cell>
          <cell r="CJ129" t="str">
            <v>HHNoKids</v>
          </cell>
        </row>
        <row r="130">
          <cell r="B130">
            <v>31</v>
          </cell>
          <cell r="F130">
            <v>39953</v>
          </cell>
          <cell r="H130">
            <v>1</v>
          </cell>
          <cell r="I130">
            <v>0</v>
          </cell>
          <cell r="J130">
            <v>22</v>
          </cell>
          <cell r="L130">
            <v>45224</v>
          </cell>
          <cell r="M130">
            <v>1</v>
          </cell>
          <cell r="N130">
            <v>2</v>
          </cell>
          <cell r="O130">
            <v>4</v>
          </cell>
          <cell r="Q130">
            <v>19</v>
          </cell>
          <cell r="AB130">
            <v>1</v>
          </cell>
          <cell r="AI130">
            <v>115</v>
          </cell>
          <cell r="AK130" t="str">
            <v>ES-FAM</v>
          </cell>
          <cell r="AO130">
            <v>0</v>
          </cell>
          <cell r="AP130">
            <v>1</v>
          </cell>
          <cell r="AQ130">
            <v>1</v>
          </cell>
          <cell r="AS130">
            <v>1</v>
          </cell>
          <cell r="BI130">
            <v>1</v>
          </cell>
          <cell r="BJ130" t="str">
            <v>Y</v>
          </cell>
          <cell r="BN130" t="str">
            <v>Adult</v>
          </cell>
          <cell r="CJ130" t="str">
            <v>HHNoKids</v>
          </cell>
        </row>
        <row r="131">
          <cell r="B131">
            <v>31</v>
          </cell>
          <cell r="F131">
            <v>40246</v>
          </cell>
          <cell r="H131">
            <v>0</v>
          </cell>
          <cell r="J131">
            <v>22</v>
          </cell>
          <cell r="L131">
            <v>45216</v>
          </cell>
          <cell r="M131">
            <v>1</v>
          </cell>
          <cell r="N131">
            <v>2</v>
          </cell>
          <cell r="AB131">
            <v>1</v>
          </cell>
          <cell r="AI131">
            <v>84</v>
          </cell>
          <cell r="AK131" t="str">
            <v>ES-FAM</v>
          </cell>
          <cell r="AO131">
            <v>0</v>
          </cell>
          <cell r="AP131">
            <v>0</v>
          </cell>
          <cell r="AQ131">
            <v>0</v>
          </cell>
          <cell r="AS131">
            <v>0</v>
          </cell>
          <cell r="BI131">
            <v>1</v>
          </cell>
          <cell r="BJ131" t="str">
            <v>Y</v>
          </cell>
          <cell r="BN131" t="str">
            <v>Child</v>
          </cell>
          <cell r="CJ131" t="str">
            <v>HHKidsOnly</v>
          </cell>
        </row>
        <row r="132">
          <cell r="B132">
            <v>31</v>
          </cell>
          <cell r="F132">
            <v>40246</v>
          </cell>
          <cell r="H132">
            <v>0</v>
          </cell>
          <cell r="J132">
            <v>22</v>
          </cell>
          <cell r="L132">
            <v>45216</v>
          </cell>
          <cell r="M132">
            <v>1</v>
          </cell>
          <cell r="N132">
            <v>2</v>
          </cell>
          <cell r="AB132">
            <v>1</v>
          </cell>
          <cell r="AI132">
            <v>84</v>
          </cell>
          <cell r="AK132" t="str">
            <v>ES-FAM</v>
          </cell>
          <cell r="AO132">
            <v>0</v>
          </cell>
          <cell r="AP132">
            <v>0</v>
          </cell>
          <cell r="AQ132">
            <v>0</v>
          </cell>
          <cell r="AS132">
            <v>0</v>
          </cell>
          <cell r="BI132">
            <v>1</v>
          </cell>
          <cell r="BJ132" t="str">
            <v>Y</v>
          </cell>
          <cell r="BN132" t="str">
            <v>Child</v>
          </cell>
          <cell r="CJ132" t="str">
            <v>HHKidsOnly</v>
          </cell>
        </row>
        <row r="133">
          <cell r="B133">
            <v>31</v>
          </cell>
          <cell r="F133">
            <v>40246</v>
          </cell>
          <cell r="H133">
            <v>0</v>
          </cell>
          <cell r="J133">
            <v>22</v>
          </cell>
          <cell r="L133">
            <v>45216</v>
          </cell>
          <cell r="M133">
            <v>1</v>
          </cell>
          <cell r="N133">
            <v>2</v>
          </cell>
          <cell r="AB133">
            <v>1</v>
          </cell>
          <cell r="AI133">
            <v>84</v>
          </cell>
          <cell r="AK133" t="str">
            <v>ES-FAM</v>
          </cell>
          <cell r="AO133">
            <v>0</v>
          </cell>
          <cell r="AP133">
            <v>0</v>
          </cell>
          <cell r="AQ133">
            <v>0</v>
          </cell>
          <cell r="AS133">
            <v>0</v>
          </cell>
          <cell r="BI133">
            <v>1</v>
          </cell>
          <cell r="BJ133" t="str">
            <v>Y</v>
          </cell>
          <cell r="BN133" t="str">
            <v>Child</v>
          </cell>
          <cell r="CJ133" t="str">
            <v>HHKidsOnly</v>
          </cell>
        </row>
        <row r="134">
          <cell r="B134">
            <v>31</v>
          </cell>
          <cell r="H134">
            <v>1</v>
          </cell>
          <cell r="J134">
            <v>14</v>
          </cell>
          <cell r="L134">
            <v>45215</v>
          </cell>
          <cell r="M134">
            <v>1</v>
          </cell>
          <cell r="N134">
            <v>1</v>
          </cell>
          <cell r="AB134">
            <v>1</v>
          </cell>
          <cell r="AI134">
            <v>163</v>
          </cell>
          <cell r="AK134" t="str">
            <v>ES-FAM</v>
          </cell>
          <cell r="AO134">
            <v>0</v>
          </cell>
          <cell r="AP134">
            <v>0</v>
          </cell>
          <cell r="AQ134">
            <v>0</v>
          </cell>
          <cell r="AS134">
            <v>0</v>
          </cell>
          <cell r="BI134">
            <v>1</v>
          </cell>
          <cell r="BJ134" t="str">
            <v>Y</v>
          </cell>
          <cell r="BN134" t="str">
            <v>Adult</v>
          </cell>
          <cell r="CJ134" t="str">
            <v>HHNoKids</v>
          </cell>
        </row>
        <row r="135">
          <cell r="B135">
            <v>31</v>
          </cell>
          <cell r="H135">
            <v>1</v>
          </cell>
          <cell r="J135">
            <v>14</v>
          </cell>
          <cell r="L135">
            <v>45215</v>
          </cell>
          <cell r="M135">
            <v>1</v>
          </cell>
          <cell r="N135">
            <v>1</v>
          </cell>
          <cell r="AB135">
            <v>1</v>
          </cell>
          <cell r="AI135">
            <v>163</v>
          </cell>
          <cell r="AK135" t="str">
            <v>ES-FAM</v>
          </cell>
          <cell r="AO135">
            <v>0</v>
          </cell>
          <cell r="AP135">
            <v>0</v>
          </cell>
          <cell r="AQ135">
            <v>0</v>
          </cell>
          <cell r="AS135">
            <v>0</v>
          </cell>
          <cell r="BI135">
            <v>1</v>
          </cell>
          <cell r="BJ135" t="str">
            <v>Y</v>
          </cell>
          <cell r="BN135" t="str">
            <v>Adult</v>
          </cell>
          <cell r="CJ135" t="str">
            <v>HHNoKids</v>
          </cell>
        </row>
        <row r="136">
          <cell r="B136">
            <v>31</v>
          </cell>
          <cell r="H136">
            <v>1</v>
          </cell>
          <cell r="J136">
            <v>14</v>
          </cell>
          <cell r="L136">
            <v>45215</v>
          </cell>
          <cell r="M136">
            <v>1</v>
          </cell>
          <cell r="N136">
            <v>1</v>
          </cell>
          <cell r="AB136">
            <v>1</v>
          </cell>
          <cell r="AI136">
            <v>132</v>
          </cell>
          <cell r="AK136" t="str">
            <v>ES-FAM</v>
          </cell>
          <cell r="AO136">
            <v>0</v>
          </cell>
          <cell r="AP136">
            <v>0</v>
          </cell>
          <cell r="AQ136">
            <v>0</v>
          </cell>
          <cell r="AS136">
            <v>0</v>
          </cell>
          <cell r="BI136">
            <v>1</v>
          </cell>
          <cell r="BJ136" t="str">
            <v>Y</v>
          </cell>
          <cell r="BN136" t="str">
            <v>Adult</v>
          </cell>
          <cell r="CJ136" t="str">
            <v>HHNoKids</v>
          </cell>
        </row>
        <row r="137">
          <cell r="B137">
            <v>31</v>
          </cell>
          <cell r="F137">
            <v>40057</v>
          </cell>
          <cell r="H137">
            <v>1</v>
          </cell>
          <cell r="I137">
            <v>0</v>
          </cell>
          <cell r="J137">
            <v>14</v>
          </cell>
          <cell r="L137">
            <v>45215</v>
          </cell>
          <cell r="M137">
            <v>1</v>
          </cell>
          <cell r="N137">
            <v>1</v>
          </cell>
          <cell r="O137">
            <v>1</v>
          </cell>
          <cell r="Q137">
            <v>9</v>
          </cell>
          <cell r="AB137">
            <v>1</v>
          </cell>
          <cell r="AI137">
            <v>11</v>
          </cell>
          <cell r="AK137" t="str">
            <v>ES-FAM</v>
          </cell>
          <cell r="AO137">
            <v>0</v>
          </cell>
          <cell r="AP137">
            <v>0</v>
          </cell>
          <cell r="AQ137">
            <v>0</v>
          </cell>
          <cell r="AS137">
            <v>0</v>
          </cell>
          <cell r="BI137">
            <v>1</v>
          </cell>
          <cell r="BJ137" t="str">
            <v>Y</v>
          </cell>
          <cell r="BN137" t="str">
            <v>Child</v>
          </cell>
          <cell r="CJ137" t="str">
            <v>HHKidsOnly</v>
          </cell>
        </row>
        <row r="138">
          <cell r="B138">
            <v>31</v>
          </cell>
          <cell r="H138">
            <v>1</v>
          </cell>
          <cell r="J138">
            <v>14</v>
          </cell>
          <cell r="L138">
            <v>45215</v>
          </cell>
          <cell r="M138">
            <v>1</v>
          </cell>
          <cell r="N138">
            <v>1</v>
          </cell>
          <cell r="AB138">
            <v>1</v>
          </cell>
          <cell r="AI138">
            <v>163</v>
          </cell>
          <cell r="AK138" t="str">
            <v>ES-FAM</v>
          </cell>
          <cell r="AO138">
            <v>0</v>
          </cell>
          <cell r="AP138">
            <v>0</v>
          </cell>
          <cell r="AQ138">
            <v>0</v>
          </cell>
          <cell r="AS138">
            <v>0</v>
          </cell>
          <cell r="BI138">
            <v>1</v>
          </cell>
          <cell r="BJ138" t="str">
            <v>Y</v>
          </cell>
          <cell r="BN138" t="str">
            <v>Child</v>
          </cell>
          <cell r="CJ138" t="str">
            <v>HHKidsOnly</v>
          </cell>
        </row>
        <row r="139">
          <cell r="B139">
            <v>31</v>
          </cell>
          <cell r="H139">
            <v>0</v>
          </cell>
          <cell r="J139">
            <v>2</v>
          </cell>
          <cell r="L139">
            <v>45212</v>
          </cell>
          <cell r="M139">
            <v>1</v>
          </cell>
          <cell r="N139">
            <v>4</v>
          </cell>
          <cell r="AB139">
            <v>1</v>
          </cell>
          <cell r="AI139">
            <v>145</v>
          </cell>
          <cell r="AK139" t="str">
            <v>ES-IND</v>
          </cell>
          <cell r="AO139">
            <v>0</v>
          </cell>
          <cell r="AP139">
            <v>0</v>
          </cell>
          <cell r="AQ139">
            <v>0</v>
          </cell>
          <cell r="AS139">
            <v>0</v>
          </cell>
          <cell r="BI139">
            <v>1</v>
          </cell>
          <cell r="BJ139" t="str">
            <v>Y</v>
          </cell>
          <cell r="BN139" t="str">
            <v>Adult</v>
          </cell>
          <cell r="CJ139" t="str">
            <v>HHNoKids</v>
          </cell>
        </row>
        <row r="140">
          <cell r="B140">
            <v>31</v>
          </cell>
          <cell r="F140">
            <v>39911</v>
          </cell>
          <cell r="H140">
            <v>0</v>
          </cell>
          <cell r="I140">
            <v>0</v>
          </cell>
          <cell r="J140">
            <v>12</v>
          </cell>
          <cell r="L140">
            <v>45223</v>
          </cell>
          <cell r="M140">
            <v>1</v>
          </cell>
          <cell r="N140">
            <v>1</v>
          </cell>
          <cell r="O140">
            <v>1</v>
          </cell>
          <cell r="Q140">
            <v>13</v>
          </cell>
          <cell r="AB140">
            <v>1</v>
          </cell>
          <cell r="AI140">
            <v>42</v>
          </cell>
          <cell r="AK140" t="str">
            <v>ES-FAM</v>
          </cell>
          <cell r="AO140">
            <v>0</v>
          </cell>
          <cell r="AP140">
            <v>0</v>
          </cell>
          <cell r="AQ140">
            <v>0</v>
          </cell>
          <cell r="AS140">
            <v>1</v>
          </cell>
          <cell r="BI140">
            <v>1</v>
          </cell>
          <cell r="BJ140" t="str">
            <v>Y</v>
          </cell>
          <cell r="BN140" t="str">
            <v>Adult</v>
          </cell>
          <cell r="CJ140" t="str">
            <v>HHNoKids</v>
          </cell>
        </row>
        <row r="141">
          <cell r="B141">
            <v>31</v>
          </cell>
          <cell r="F141">
            <v>39911</v>
          </cell>
          <cell r="H141">
            <v>0</v>
          </cell>
          <cell r="I141">
            <v>0</v>
          </cell>
          <cell r="J141">
            <v>12</v>
          </cell>
          <cell r="L141">
            <v>45223</v>
          </cell>
          <cell r="M141">
            <v>1</v>
          </cell>
          <cell r="N141">
            <v>1</v>
          </cell>
          <cell r="O141">
            <v>1</v>
          </cell>
          <cell r="Q141">
            <v>13</v>
          </cell>
          <cell r="AB141">
            <v>1</v>
          </cell>
          <cell r="AI141">
            <v>42</v>
          </cell>
          <cell r="AK141" t="str">
            <v>ES-FAM</v>
          </cell>
          <cell r="AO141">
            <v>0</v>
          </cell>
          <cell r="AP141">
            <v>0</v>
          </cell>
          <cell r="AQ141">
            <v>0</v>
          </cell>
          <cell r="AS141">
            <v>1</v>
          </cell>
          <cell r="BI141">
            <v>1</v>
          </cell>
          <cell r="BJ141" t="str">
            <v>Y</v>
          </cell>
          <cell r="BN141" t="str">
            <v>Child</v>
          </cell>
          <cell r="CJ141" t="str">
            <v>HHKidsOnly</v>
          </cell>
        </row>
        <row r="142">
          <cell r="B142">
            <v>31</v>
          </cell>
          <cell r="F142">
            <v>39911</v>
          </cell>
          <cell r="H142">
            <v>0</v>
          </cell>
          <cell r="I142">
            <v>0</v>
          </cell>
          <cell r="J142">
            <v>12</v>
          </cell>
          <cell r="L142">
            <v>45223</v>
          </cell>
          <cell r="M142">
            <v>1</v>
          </cell>
          <cell r="N142">
            <v>1</v>
          </cell>
          <cell r="O142">
            <v>1</v>
          </cell>
          <cell r="Q142">
            <v>13</v>
          </cell>
          <cell r="AB142">
            <v>1</v>
          </cell>
          <cell r="AI142">
            <v>42</v>
          </cell>
          <cell r="AK142" t="str">
            <v>ES-FAM</v>
          </cell>
          <cell r="AO142">
            <v>0</v>
          </cell>
          <cell r="AP142">
            <v>0</v>
          </cell>
          <cell r="AQ142">
            <v>0</v>
          </cell>
          <cell r="AS142">
            <v>1</v>
          </cell>
          <cell r="BI142">
            <v>1</v>
          </cell>
          <cell r="BJ142" t="str">
            <v>Y</v>
          </cell>
          <cell r="BN142" t="str">
            <v>Child</v>
          </cell>
          <cell r="CJ142" t="str">
            <v>HHKidsOnly</v>
          </cell>
        </row>
        <row r="143">
          <cell r="B143">
            <v>31</v>
          </cell>
          <cell r="H143">
            <v>1</v>
          </cell>
          <cell r="J143">
            <v>16</v>
          </cell>
          <cell r="L143">
            <v>45202</v>
          </cell>
          <cell r="M143">
            <v>1</v>
          </cell>
          <cell r="N143">
            <v>1</v>
          </cell>
          <cell r="AB143">
            <v>1</v>
          </cell>
          <cell r="AI143">
            <v>329</v>
          </cell>
          <cell r="AK143" t="str">
            <v>ES-IND</v>
          </cell>
          <cell r="AO143">
            <v>0</v>
          </cell>
          <cell r="AP143">
            <v>0</v>
          </cell>
          <cell r="AQ143">
            <v>0</v>
          </cell>
          <cell r="AS143">
            <v>1</v>
          </cell>
          <cell r="BI143">
            <v>1</v>
          </cell>
          <cell r="BJ143" t="str">
            <v>Y</v>
          </cell>
          <cell r="BN143" t="str">
            <v>Adult</v>
          </cell>
          <cell r="CJ143" t="str">
            <v>HHNoKids</v>
          </cell>
        </row>
        <row r="144">
          <cell r="B144">
            <v>31</v>
          </cell>
          <cell r="F144">
            <v>39864</v>
          </cell>
          <cell r="H144">
            <v>0</v>
          </cell>
          <cell r="I144">
            <v>0</v>
          </cell>
          <cell r="J144">
            <v>21</v>
          </cell>
          <cell r="L144">
            <v>45223</v>
          </cell>
          <cell r="M144">
            <v>1</v>
          </cell>
          <cell r="N144">
            <v>3</v>
          </cell>
          <cell r="O144">
            <v>1</v>
          </cell>
          <cell r="Q144">
            <v>1</v>
          </cell>
          <cell r="AB144">
            <v>1</v>
          </cell>
          <cell r="AI144">
            <v>33</v>
          </cell>
          <cell r="AK144" t="str">
            <v>ES-FAM</v>
          </cell>
          <cell r="AO144">
            <v>0</v>
          </cell>
          <cell r="AP144">
            <v>1</v>
          </cell>
          <cell r="AQ144">
            <v>0</v>
          </cell>
          <cell r="AS144">
            <v>1</v>
          </cell>
          <cell r="BI144">
            <v>1</v>
          </cell>
          <cell r="BJ144" t="str">
            <v>Y</v>
          </cell>
          <cell r="BN144" t="str">
            <v>Adult</v>
          </cell>
          <cell r="CJ144" t="str">
            <v>HHNoKids</v>
          </cell>
        </row>
        <row r="145">
          <cell r="B145">
            <v>31</v>
          </cell>
          <cell r="F145">
            <v>39864</v>
          </cell>
          <cell r="H145">
            <v>0</v>
          </cell>
          <cell r="I145">
            <v>0</v>
          </cell>
          <cell r="J145">
            <v>21</v>
          </cell>
          <cell r="L145">
            <v>45223</v>
          </cell>
          <cell r="M145">
            <v>1</v>
          </cell>
          <cell r="N145">
            <v>3</v>
          </cell>
          <cell r="AB145">
            <v>1</v>
          </cell>
          <cell r="AI145">
            <v>33</v>
          </cell>
          <cell r="AK145" t="str">
            <v>ES-FAM</v>
          </cell>
          <cell r="AO145">
            <v>0</v>
          </cell>
          <cell r="AP145">
            <v>1</v>
          </cell>
          <cell r="AQ145">
            <v>0</v>
          </cell>
          <cell r="AS145">
            <v>1</v>
          </cell>
          <cell r="BI145">
            <v>1</v>
          </cell>
          <cell r="BJ145" t="str">
            <v>Y</v>
          </cell>
          <cell r="BN145" t="str">
            <v>Adult</v>
          </cell>
          <cell r="CJ145" t="str">
            <v>HHNoKids</v>
          </cell>
        </row>
        <row r="146">
          <cell r="B146">
            <v>31</v>
          </cell>
          <cell r="F146">
            <v>39864</v>
          </cell>
          <cell r="H146">
            <v>0</v>
          </cell>
          <cell r="I146">
            <v>0</v>
          </cell>
          <cell r="J146">
            <v>21</v>
          </cell>
          <cell r="L146">
            <v>45223</v>
          </cell>
          <cell r="M146">
            <v>1</v>
          </cell>
          <cell r="N146">
            <v>3</v>
          </cell>
          <cell r="O146">
            <v>1</v>
          </cell>
          <cell r="Q146">
            <v>1</v>
          </cell>
          <cell r="AB146">
            <v>1</v>
          </cell>
          <cell r="AI146">
            <v>33</v>
          </cell>
          <cell r="AK146" t="str">
            <v>ES-FAM</v>
          </cell>
          <cell r="AO146">
            <v>0</v>
          </cell>
          <cell r="AP146">
            <v>1</v>
          </cell>
          <cell r="AQ146">
            <v>0</v>
          </cell>
          <cell r="AS146">
            <v>1</v>
          </cell>
          <cell r="BI146">
            <v>1</v>
          </cell>
          <cell r="BJ146" t="str">
            <v>Y</v>
          </cell>
          <cell r="BN146" t="str">
            <v>Child</v>
          </cell>
          <cell r="CJ146" t="str">
            <v>HHKidsOnly</v>
          </cell>
        </row>
        <row r="147">
          <cell r="B147">
            <v>31</v>
          </cell>
          <cell r="F147">
            <v>40137</v>
          </cell>
          <cell r="H147">
            <v>0</v>
          </cell>
          <cell r="I147">
            <v>0</v>
          </cell>
          <cell r="J147">
            <v>22</v>
          </cell>
          <cell r="L147">
            <v>45229</v>
          </cell>
          <cell r="M147">
            <v>1</v>
          </cell>
          <cell r="N147">
            <v>3</v>
          </cell>
          <cell r="O147">
            <v>4</v>
          </cell>
          <cell r="Q147">
            <v>24</v>
          </cell>
          <cell r="AB147">
            <v>1</v>
          </cell>
          <cell r="AI147">
            <v>186</v>
          </cell>
          <cell r="AK147" t="str">
            <v>ES-FAM</v>
          </cell>
          <cell r="AO147">
            <v>0</v>
          </cell>
          <cell r="AP147">
            <v>0</v>
          </cell>
          <cell r="AQ147">
            <v>0</v>
          </cell>
          <cell r="AS147">
            <v>1</v>
          </cell>
          <cell r="BI147">
            <v>1</v>
          </cell>
          <cell r="BJ147" t="str">
            <v>Y</v>
          </cell>
          <cell r="BN147" t="str">
            <v>Adult</v>
          </cell>
          <cell r="CJ147" t="str">
            <v>HHNoKids</v>
          </cell>
        </row>
        <row r="148">
          <cell r="B148">
            <v>31</v>
          </cell>
          <cell r="F148">
            <v>40137</v>
          </cell>
          <cell r="H148">
            <v>0</v>
          </cell>
          <cell r="I148">
            <v>1</v>
          </cell>
          <cell r="J148">
            <v>22</v>
          </cell>
          <cell r="L148">
            <v>45229</v>
          </cell>
          <cell r="M148">
            <v>1</v>
          </cell>
          <cell r="N148">
            <v>3</v>
          </cell>
          <cell r="O148">
            <v>4</v>
          </cell>
          <cell r="Q148">
            <v>15</v>
          </cell>
          <cell r="AB148">
            <v>1</v>
          </cell>
          <cell r="AI148">
            <v>186</v>
          </cell>
          <cell r="AK148" t="str">
            <v>ES-FAM</v>
          </cell>
          <cell r="AO148">
            <v>0</v>
          </cell>
          <cell r="AP148">
            <v>0</v>
          </cell>
          <cell r="AQ148">
            <v>0</v>
          </cell>
          <cell r="AS148">
            <v>1</v>
          </cell>
          <cell r="BI148">
            <v>1</v>
          </cell>
          <cell r="BJ148" t="str">
            <v>Y</v>
          </cell>
          <cell r="BN148" t="str">
            <v>Child</v>
          </cell>
          <cell r="CJ148" t="str">
            <v>HHKidsOnly</v>
          </cell>
        </row>
        <row r="149">
          <cell r="B149">
            <v>31</v>
          </cell>
          <cell r="F149">
            <v>40137</v>
          </cell>
          <cell r="H149">
            <v>0</v>
          </cell>
          <cell r="I149">
            <v>0</v>
          </cell>
          <cell r="J149">
            <v>22</v>
          </cell>
          <cell r="L149">
            <v>45229</v>
          </cell>
          <cell r="M149">
            <v>1</v>
          </cell>
          <cell r="N149">
            <v>3</v>
          </cell>
          <cell r="AB149">
            <v>1</v>
          </cell>
          <cell r="AI149">
            <v>186</v>
          </cell>
          <cell r="AK149" t="str">
            <v>ES-FAM</v>
          </cell>
          <cell r="AO149">
            <v>0</v>
          </cell>
          <cell r="AP149">
            <v>0</v>
          </cell>
          <cell r="AQ149">
            <v>0</v>
          </cell>
          <cell r="AS149">
            <v>1</v>
          </cell>
          <cell r="BI149">
            <v>1</v>
          </cell>
          <cell r="BJ149" t="str">
            <v>Y</v>
          </cell>
          <cell r="BN149" t="str">
            <v>Adult</v>
          </cell>
          <cell r="CJ149" t="str">
            <v>HHNoKids</v>
          </cell>
        </row>
        <row r="150">
          <cell r="B150">
            <v>31</v>
          </cell>
          <cell r="F150">
            <v>40040</v>
          </cell>
          <cell r="H150">
            <v>0</v>
          </cell>
          <cell r="I150">
            <v>1</v>
          </cell>
          <cell r="J150">
            <v>22</v>
          </cell>
          <cell r="L150">
            <v>45240</v>
          </cell>
          <cell r="M150">
            <v>1</v>
          </cell>
          <cell r="N150">
            <v>3</v>
          </cell>
          <cell r="O150">
            <v>4</v>
          </cell>
          <cell r="Q150">
            <v>20</v>
          </cell>
          <cell r="AB150">
            <v>1</v>
          </cell>
          <cell r="AI150">
            <v>103</v>
          </cell>
          <cell r="AK150" t="str">
            <v>ES-FAM</v>
          </cell>
          <cell r="AO150">
            <v>0</v>
          </cell>
          <cell r="AP150">
            <v>0</v>
          </cell>
          <cell r="AQ150">
            <v>0</v>
          </cell>
          <cell r="AS150">
            <v>1</v>
          </cell>
          <cell r="BI150">
            <v>1</v>
          </cell>
          <cell r="BJ150" t="str">
            <v>Y</v>
          </cell>
          <cell r="BN150" t="str">
            <v>Child</v>
          </cell>
          <cell r="CJ150" t="str">
            <v>HHKidsOnly</v>
          </cell>
        </row>
        <row r="151">
          <cell r="B151">
            <v>31</v>
          </cell>
          <cell r="F151">
            <v>39872</v>
          </cell>
          <cell r="H151">
            <v>1</v>
          </cell>
          <cell r="I151">
            <v>1</v>
          </cell>
          <cell r="J151">
            <v>1</v>
          </cell>
          <cell r="L151">
            <v>45219</v>
          </cell>
          <cell r="N151">
            <v>1</v>
          </cell>
          <cell r="O151">
            <v>4</v>
          </cell>
          <cell r="Q151">
            <v>2</v>
          </cell>
          <cell r="AB151">
            <v>1</v>
          </cell>
          <cell r="AI151">
            <v>28</v>
          </cell>
          <cell r="AK151" t="str">
            <v>ES-FAM</v>
          </cell>
          <cell r="AO151">
            <v>0</v>
          </cell>
          <cell r="AP151">
            <v>0</v>
          </cell>
          <cell r="AQ151">
            <v>0</v>
          </cell>
          <cell r="AS151">
            <v>1</v>
          </cell>
          <cell r="BI151">
            <v>1</v>
          </cell>
          <cell r="BJ151" t="str">
            <v>N</v>
          </cell>
          <cell r="BN151" t="str">
            <v/>
          </cell>
          <cell r="CJ151" t="e">
            <v>#N/A</v>
          </cell>
        </row>
        <row r="152">
          <cell r="B152">
            <v>31</v>
          </cell>
          <cell r="F152">
            <v>40024</v>
          </cell>
          <cell r="H152">
            <v>1</v>
          </cell>
          <cell r="I152">
            <v>1</v>
          </cell>
          <cell r="J152">
            <v>1</v>
          </cell>
          <cell r="L152">
            <v>45219</v>
          </cell>
          <cell r="N152">
            <v>1</v>
          </cell>
          <cell r="O152">
            <v>4</v>
          </cell>
          <cell r="Q152">
            <v>10</v>
          </cell>
          <cell r="AB152">
            <v>1</v>
          </cell>
          <cell r="AI152">
            <v>30</v>
          </cell>
          <cell r="AK152" t="str">
            <v>ES-IND</v>
          </cell>
          <cell r="AO152">
            <v>0</v>
          </cell>
          <cell r="AP152">
            <v>0</v>
          </cell>
          <cell r="AQ152">
            <v>0</v>
          </cell>
          <cell r="AS152">
            <v>0</v>
          </cell>
          <cell r="BI152">
            <v>1</v>
          </cell>
          <cell r="BJ152" t="str">
            <v>Y</v>
          </cell>
          <cell r="BN152" t="str">
            <v>Adult</v>
          </cell>
          <cell r="CJ152" t="str">
            <v>HHNoKids</v>
          </cell>
        </row>
        <row r="153">
          <cell r="B153">
            <v>31</v>
          </cell>
          <cell r="F153">
            <v>39872</v>
          </cell>
          <cell r="H153">
            <v>1</v>
          </cell>
          <cell r="J153">
            <v>1</v>
          </cell>
          <cell r="L153">
            <v>45219</v>
          </cell>
          <cell r="N153">
            <v>1</v>
          </cell>
          <cell r="O153">
            <v>4</v>
          </cell>
          <cell r="Q153">
            <v>2</v>
          </cell>
          <cell r="AB153">
            <v>1</v>
          </cell>
          <cell r="AI153">
            <v>28</v>
          </cell>
          <cell r="AK153" t="str">
            <v>ES-FAM</v>
          </cell>
          <cell r="AO153">
            <v>0</v>
          </cell>
          <cell r="AP153">
            <v>0</v>
          </cell>
          <cell r="AQ153">
            <v>0</v>
          </cell>
          <cell r="AS153">
            <v>1</v>
          </cell>
          <cell r="BI153">
            <v>1</v>
          </cell>
          <cell r="BJ153" t="str">
            <v>N</v>
          </cell>
          <cell r="BN153" t="str">
            <v/>
          </cell>
          <cell r="CJ153" t="e">
            <v>#N/A</v>
          </cell>
        </row>
        <row r="154">
          <cell r="B154">
            <v>31</v>
          </cell>
          <cell r="F154">
            <v>39994</v>
          </cell>
          <cell r="H154">
            <v>0</v>
          </cell>
          <cell r="J154">
            <v>1</v>
          </cell>
          <cell r="L154">
            <v>45219</v>
          </cell>
          <cell r="N154">
            <v>1</v>
          </cell>
          <cell r="O154">
            <v>4</v>
          </cell>
          <cell r="Q154">
            <v>11</v>
          </cell>
          <cell r="AB154">
            <v>1</v>
          </cell>
          <cell r="AI154">
            <v>30</v>
          </cell>
          <cell r="AK154" t="str">
            <v>ES-FAM</v>
          </cell>
          <cell r="AO154">
            <v>0</v>
          </cell>
          <cell r="AP154">
            <v>0</v>
          </cell>
          <cell r="AQ154">
            <v>0</v>
          </cell>
          <cell r="AS154">
            <v>1</v>
          </cell>
          <cell r="BI154">
            <v>1</v>
          </cell>
          <cell r="BJ154" t="str">
            <v>Y</v>
          </cell>
          <cell r="BN154" t="str">
            <v>Adult</v>
          </cell>
          <cell r="CJ154" t="str">
            <v>HHNoKids</v>
          </cell>
        </row>
        <row r="155">
          <cell r="B155">
            <v>31</v>
          </cell>
          <cell r="F155">
            <v>39872</v>
          </cell>
          <cell r="H155">
            <v>1</v>
          </cell>
          <cell r="J155">
            <v>1</v>
          </cell>
          <cell r="L155">
            <v>45219</v>
          </cell>
          <cell r="N155">
            <v>1</v>
          </cell>
          <cell r="AB155">
            <v>1</v>
          </cell>
          <cell r="AI155">
            <v>28</v>
          </cell>
          <cell r="AK155" t="str">
            <v>ES-FAM</v>
          </cell>
          <cell r="AO155">
            <v>0</v>
          </cell>
          <cell r="AP155">
            <v>0</v>
          </cell>
          <cell r="AQ155">
            <v>0</v>
          </cell>
          <cell r="AS155">
            <v>1</v>
          </cell>
          <cell r="BI155">
            <v>1</v>
          </cell>
          <cell r="BJ155" t="str">
            <v>N</v>
          </cell>
          <cell r="BN155" t="str">
            <v/>
          </cell>
          <cell r="CJ155" t="e">
            <v>#N/A</v>
          </cell>
        </row>
        <row r="156">
          <cell r="B156">
            <v>31</v>
          </cell>
          <cell r="F156">
            <v>39994</v>
          </cell>
          <cell r="H156">
            <v>0</v>
          </cell>
          <cell r="J156">
            <v>1</v>
          </cell>
          <cell r="L156">
            <v>45219</v>
          </cell>
          <cell r="N156">
            <v>1</v>
          </cell>
          <cell r="O156">
            <v>4</v>
          </cell>
          <cell r="Q156">
            <v>11</v>
          </cell>
          <cell r="AB156">
            <v>1</v>
          </cell>
          <cell r="AI156">
            <v>30</v>
          </cell>
          <cell r="AK156" t="str">
            <v>ES-FAM</v>
          </cell>
          <cell r="AO156">
            <v>0</v>
          </cell>
          <cell r="AP156">
            <v>0</v>
          </cell>
          <cell r="AQ156">
            <v>0</v>
          </cell>
          <cell r="AS156">
            <v>1</v>
          </cell>
          <cell r="BI156">
            <v>1</v>
          </cell>
          <cell r="BJ156" t="str">
            <v>N</v>
          </cell>
          <cell r="BN156" t="str">
            <v/>
          </cell>
          <cell r="CJ156" t="e">
            <v>#N/A</v>
          </cell>
        </row>
        <row r="157">
          <cell r="B157">
            <v>31</v>
          </cell>
          <cell r="F157">
            <v>40162</v>
          </cell>
          <cell r="H157">
            <v>0</v>
          </cell>
          <cell r="J157">
            <v>1</v>
          </cell>
          <cell r="L157">
            <v>45219</v>
          </cell>
          <cell r="N157">
            <v>1</v>
          </cell>
          <cell r="O157">
            <v>4</v>
          </cell>
          <cell r="Q157">
            <v>10</v>
          </cell>
          <cell r="AB157">
            <v>1</v>
          </cell>
          <cell r="AI157">
            <v>15</v>
          </cell>
          <cell r="AK157" t="str">
            <v>ES-IND</v>
          </cell>
          <cell r="AO157">
            <v>0</v>
          </cell>
          <cell r="AP157">
            <v>0</v>
          </cell>
          <cell r="AQ157">
            <v>0</v>
          </cell>
          <cell r="AS157">
            <v>0</v>
          </cell>
          <cell r="BI157">
            <v>1</v>
          </cell>
          <cell r="BJ157" t="str">
            <v>Y</v>
          </cell>
          <cell r="BN157" t="str">
            <v>Child</v>
          </cell>
          <cell r="CJ157" t="str">
            <v>HHKidsOnly</v>
          </cell>
        </row>
        <row r="158">
          <cell r="B158">
            <v>31</v>
          </cell>
          <cell r="F158">
            <v>39872</v>
          </cell>
          <cell r="H158">
            <v>1</v>
          </cell>
          <cell r="J158">
            <v>1</v>
          </cell>
          <cell r="L158">
            <v>45219</v>
          </cell>
          <cell r="N158">
            <v>1</v>
          </cell>
          <cell r="O158">
            <v>4</v>
          </cell>
          <cell r="Q158">
            <v>2</v>
          </cell>
          <cell r="AB158">
            <v>1</v>
          </cell>
          <cell r="AI158">
            <v>28</v>
          </cell>
          <cell r="AK158" t="str">
            <v>ES-FAM</v>
          </cell>
          <cell r="AO158">
            <v>0</v>
          </cell>
          <cell r="AP158">
            <v>0</v>
          </cell>
          <cell r="AQ158">
            <v>0</v>
          </cell>
          <cell r="AS158">
            <v>1</v>
          </cell>
          <cell r="BI158">
            <v>1</v>
          </cell>
          <cell r="BJ158" t="str">
            <v>N</v>
          </cell>
          <cell r="BN158" t="str">
            <v/>
          </cell>
          <cell r="CJ158" t="e">
            <v>#N/A</v>
          </cell>
        </row>
        <row r="159">
          <cell r="B159">
            <v>31</v>
          </cell>
          <cell r="F159">
            <v>40147</v>
          </cell>
          <cell r="H159">
            <v>0</v>
          </cell>
          <cell r="J159">
            <v>12</v>
          </cell>
          <cell r="L159">
            <v>45219</v>
          </cell>
          <cell r="N159">
            <v>3</v>
          </cell>
          <cell r="O159">
            <v>4</v>
          </cell>
          <cell r="Q159">
            <v>10</v>
          </cell>
          <cell r="AB159">
            <v>1</v>
          </cell>
          <cell r="AI159">
            <v>30</v>
          </cell>
          <cell r="AK159" t="str">
            <v>ES-IND</v>
          </cell>
          <cell r="AO159">
            <v>0</v>
          </cell>
          <cell r="AP159">
            <v>0</v>
          </cell>
          <cell r="AQ159">
            <v>0</v>
          </cell>
          <cell r="AS159">
            <v>0</v>
          </cell>
          <cell r="BI159">
            <v>1</v>
          </cell>
          <cell r="BJ159" t="str">
            <v>Y</v>
          </cell>
          <cell r="BN159" t="str">
            <v>Child</v>
          </cell>
          <cell r="CJ159" t="str">
            <v>HHKidsOnly</v>
          </cell>
        </row>
        <row r="160">
          <cell r="B160">
            <v>31</v>
          </cell>
          <cell r="F160">
            <v>39844</v>
          </cell>
          <cell r="H160">
            <v>0</v>
          </cell>
          <cell r="I160">
            <v>0</v>
          </cell>
          <cell r="J160">
            <v>1</v>
          </cell>
          <cell r="L160">
            <v>45207</v>
          </cell>
          <cell r="N160">
            <v>1</v>
          </cell>
          <cell r="O160">
            <v>4</v>
          </cell>
          <cell r="Q160">
            <v>10</v>
          </cell>
          <cell r="AB160">
            <v>1</v>
          </cell>
          <cell r="AI160">
            <v>31</v>
          </cell>
          <cell r="AK160" t="str">
            <v>ES-FAM</v>
          </cell>
          <cell r="AO160">
            <v>0</v>
          </cell>
          <cell r="AP160">
            <v>1</v>
          </cell>
          <cell r="AQ160">
            <v>0</v>
          </cell>
          <cell r="AS160">
            <v>1</v>
          </cell>
          <cell r="BI160">
            <v>1</v>
          </cell>
          <cell r="BJ160" t="str">
            <v>Y</v>
          </cell>
          <cell r="BN160" t="str">
            <v>Adult</v>
          </cell>
          <cell r="CJ160" t="str">
            <v>HHNoKids</v>
          </cell>
        </row>
        <row r="161">
          <cell r="B161">
            <v>31</v>
          </cell>
          <cell r="F161">
            <v>39844</v>
          </cell>
          <cell r="H161">
            <v>0</v>
          </cell>
          <cell r="I161">
            <v>0</v>
          </cell>
          <cell r="J161">
            <v>1</v>
          </cell>
          <cell r="L161">
            <v>45207</v>
          </cell>
          <cell r="N161">
            <v>1</v>
          </cell>
          <cell r="O161">
            <v>4</v>
          </cell>
          <cell r="Q161">
            <v>10</v>
          </cell>
          <cell r="AB161">
            <v>1</v>
          </cell>
          <cell r="AI161">
            <v>31</v>
          </cell>
          <cell r="AK161" t="str">
            <v>ES-FAM</v>
          </cell>
          <cell r="AO161">
            <v>0</v>
          </cell>
          <cell r="AP161">
            <v>1</v>
          </cell>
          <cell r="AQ161">
            <v>0</v>
          </cell>
          <cell r="AS161">
            <v>1</v>
          </cell>
          <cell r="BI161">
            <v>1</v>
          </cell>
          <cell r="BJ161" t="str">
            <v>Y</v>
          </cell>
          <cell r="BN161" t="str">
            <v>Adult</v>
          </cell>
          <cell r="CJ161" t="str">
            <v>HHNoKids</v>
          </cell>
        </row>
        <row r="162">
          <cell r="B162">
            <v>31</v>
          </cell>
          <cell r="F162">
            <v>40040</v>
          </cell>
          <cell r="H162">
            <v>0</v>
          </cell>
          <cell r="I162">
            <v>0</v>
          </cell>
          <cell r="J162">
            <v>22</v>
          </cell>
          <cell r="L162">
            <v>45240</v>
          </cell>
          <cell r="M162">
            <v>1</v>
          </cell>
          <cell r="N162">
            <v>3</v>
          </cell>
          <cell r="O162">
            <v>4</v>
          </cell>
          <cell r="Q162">
            <v>20</v>
          </cell>
          <cell r="AB162">
            <v>1</v>
          </cell>
          <cell r="AI162">
            <v>27</v>
          </cell>
          <cell r="AK162" t="str">
            <v>ES-FAM</v>
          </cell>
          <cell r="AO162">
            <v>0</v>
          </cell>
          <cell r="AP162">
            <v>0</v>
          </cell>
          <cell r="AQ162">
            <v>0</v>
          </cell>
          <cell r="AS162">
            <v>0</v>
          </cell>
          <cell r="BI162">
            <v>1</v>
          </cell>
          <cell r="BJ162" t="str">
            <v>Y</v>
          </cell>
          <cell r="BN162" t="str">
            <v>Child</v>
          </cell>
          <cell r="CJ162" t="str">
            <v>HHKidsOnly</v>
          </cell>
        </row>
        <row r="163">
          <cell r="B163">
            <v>31</v>
          </cell>
          <cell r="F163">
            <v>39953</v>
          </cell>
          <cell r="H163">
            <v>1</v>
          </cell>
          <cell r="I163">
            <v>0</v>
          </cell>
          <cell r="J163">
            <v>22</v>
          </cell>
          <cell r="L163">
            <v>45224</v>
          </cell>
          <cell r="M163">
            <v>1</v>
          </cell>
          <cell r="N163">
            <v>2</v>
          </cell>
          <cell r="O163">
            <v>4</v>
          </cell>
          <cell r="Q163">
            <v>19</v>
          </cell>
          <cell r="AB163">
            <v>1</v>
          </cell>
          <cell r="AI163">
            <v>84</v>
          </cell>
          <cell r="AK163" t="str">
            <v>ES-FAM</v>
          </cell>
          <cell r="AO163">
            <v>0</v>
          </cell>
          <cell r="AP163">
            <v>0</v>
          </cell>
          <cell r="AQ163">
            <v>1</v>
          </cell>
          <cell r="AS163">
            <v>1</v>
          </cell>
          <cell r="BI163">
            <v>1</v>
          </cell>
          <cell r="BJ163" t="str">
            <v>Y</v>
          </cell>
          <cell r="BN163" t="str">
            <v>Child</v>
          </cell>
          <cell r="CJ163" t="str">
            <v>HHKidsOnly</v>
          </cell>
        </row>
        <row r="164">
          <cell r="B164">
            <v>31</v>
          </cell>
          <cell r="F164">
            <v>39953</v>
          </cell>
          <cell r="H164">
            <v>1</v>
          </cell>
          <cell r="I164">
            <v>0</v>
          </cell>
          <cell r="J164">
            <v>22</v>
          </cell>
          <cell r="L164">
            <v>45224</v>
          </cell>
          <cell r="M164">
            <v>1</v>
          </cell>
          <cell r="N164">
            <v>2</v>
          </cell>
          <cell r="O164">
            <v>4</v>
          </cell>
          <cell r="Q164">
            <v>19</v>
          </cell>
          <cell r="AB164">
            <v>1</v>
          </cell>
          <cell r="AI164">
            <v>115</v>
          </cell>
          <cell r="AK164" t="str">
            <v>ES-FAM</v>
          </cell>
          <cell r="AO164">
            <v>0</v>
          </cell>
          <cell r="AP164">
            <v>1</v>
          </cell>
          <cell r="AQ164">
            <v>1</v>
          </cell>
          <cell r="AS164">
            <v>1</v>
          </cell>
          <cell r="BI164">
            <v>1</v>
          </cell>
          <cell r="BJ164" t="str">
            <v>N</v>
          </cell>
          <cell r="BN164" t="str">
            <v/>
          </cell>
          <cell r="CJ164" t="e">
            <v>#N/A</v>
          </cell>
        </row>
      </sheetData>
      <sheetData sheetId="6">
        <row r="1">
          <cell r="AG1" t="str">
            <v>First Contact Location</v>
          </cell>
          <cell r="AM1" t="str">
            <v>Outreach Reporting Figure</v>
          </cell>
        </row>
        <row r="2">
          <cell r="AG2" t="b">
            <v>0</v>
          </cell>
          <cell r="AM2" t="b">
            <v>0</v>
          </cell>
        </row>
        <row r="3">
          <cell r="AG3" t="b">
            <v>0</v>
          </cell>
          <cell r="AM3" t="b">
            <v>0</v>
          </cell>
        </row>
        <row r="4">
          <cell r="AG4" t="b">
            <v>0</v>
          </cell>
          <cell r="AM4" t="b">
            <v>0</v>
          </cell>
        </row>
        <row r="5">
          <cell r="AG5" t="b">
            <v>0</v>
          </cell>
          <cell r="AM5" t="b">
            <v>0</v>
          </cell>
        </row>
        <row r="6">
          <cell r="AG6" t="b">
            <v>0</v>
          </cell>
          <cell r="AM6" t="b">
            <v>0</v>
          </cell>
        </row>
        <row r="7">
          <cell r="AG7" t="b">
            <v>0</v>
          </cell>
          <cell r="AM7" t="b">
            <v>0</v>
          </cell>
        </row>
        <row r="8">
          <cell r="AG8" t="b">
            <v>0</v>
          </cell>
          <cell r="AM8" t="b">
            <v>0</v>
          </cell>
        </row>
        <row r="9">
          <cell r="AG9" t="b">
            <v>0</v>
          </cell>
          <cell r="AM9" t="b">
            <v>0</v>
          </cell>
        </row>
        <row r="10">
          <cell r="AG10" t="b">
            <v>0</v>
          </cell>
          <cell r="AM10" t="b">
            <v>0</v>
          </cell>
        </row>
        <row r="11">
          <cell r="AG11" t="b">
            <v>0</v>
          </cell>
          <cell r="AM11" t="b">
            <v>0</v>
          </cell>
        </row>
        <row r="12">
          <cell r="AG12" t="b">
            <v>0</v>
          </cell>
          <cell r="AM12" t="b">
            <v>0</v>
          </cell>
        </row>
        <row r="13">
          <cell r="AG13" t="b">
            <v>0</v>
          </cell>
          <cell r="AM13" t="b">
            <v>0</v>
          </cell>
        </row>
        <row r="14">
          <cell r="AG14" t="b">
            <v>0</v>
          </cell>
          <cell r="AM14" t="b">
            <v>0</v>
          </cell>
        </row>
        <row r="15">
          <cell r="AG15" t="b">
            <v>0</v>
          </cell>
          <cell r="AM15" t="b">
            <v>0</v>
          </cell>
        </row>
        <row r="16">
          <cell r="AG16" t="b">
            <v>0</v>
          </cell>
          <cell r="AM16" t="b">
            <v>0</v>
          </cell>
        </row>
        <row r="17">
          <cell r="AG17" t="b">
            <v>0</v>
          </cell>
          <cell r="AM17" t="b">
            <v>0</v>
          </cell>
        </row>
        <row r="18">
          <cell r="AG18" t="b">
            <v>0</v>
          </cell>
          <cell r="AM18" t="b">
            <v>0</v>
          </cell>
        </row>
        <row r="19">
          <cell r="AG19" t="b">
            <v>0</v>
          </cell>
          <cell r="AM19" t="b">
            <v>0</v>
          </cell>
        </row>
        <row r="20">
          <cell r="AG20" t="b">
            <v>0</v>
          </cell>
          <cell r="AM20" t="b">
            <v>0</v>
          </cell>
        </row>
        <row r="21">
          <cell r="AG21" t="b">
            <v>0</v>
          </cell>
          <cell r="AM21" t="b">
            <v>0</v>
          </cell>
        </row>
        <row r="22">
          <cell r="AG22" t="b">
            <v>0</v>
          </cell>
          <cell r="AM22" t="b">
            <v>0</v>
          </cell>
        </row>
        <row r="23">
          <cell r="AG23" t="b">
            <v>0</v>
          </cell>
          <cell r="AM23" t="b">
            <v>0</v>
          </cell>
        </row>
        <row r="24">
          <cell r="AG24" t="b">
            <v>0</v>
          </cell>
          <cell r="AM24" t="b">
            <v>0</v>
          </cell>
        </row>
        <row r="25">
          <cell r="AG25" t="b">
            <v>0</v>
          </cell>
          <cell r="AM25" t="b">
            <v>0</v>
          </cell>
        </row>
        <row r="26">
          <cell r="AG26" t="b">
            <v>0</v>
          </cell>
          <cell r="AM26" t="b">
            <v>0</v>
          </cell>
        </row>
        <row r="27">
          <cell r="AG27" t="b">
            <v>0</v>
          </cell>
          <cell r="AM27" t="b">
            <v>0</v>
          </cell>
        </row>
        <row r="28">
          <cell r="AG28" t="b">
            <v>0</v>
          </cell>
          <cell r="AM28" t="b">
            <v>0</v>
          </cell>
        </row>
        <row r="29">
          <cell r="AG29" t="b">
            <v>0</v>
          </cell>
          <cell r="AM29" t="b">
            <v>0</v>
          </cell>
        </row>
        <row r="30">
          <cell r="AG30" t="b">
            <v>0</v>
          </cell>
          <cell r="AM30" t="b">
            <v>0</v>
          </cell>
        </row>
        <row r="31">
          <cell r="AG31" t="b">
            <v>0</v>
          </cell>
          <cell r="AM31" t="b">
            <v>0</v>
          </cell>
        </row>
        <row r="32">
          <cell r="AG32" t="b">
            <v>0</v>
          </cell>
          <cell r="AM32" t="b">
            <v>0</v>
          </cell>
        </row>
        <row r="33">
          <cell r="AG33" t="b">
            <v>0</v>
          </cell>
          <cell r="AM33" t="b">
            <v>0</v>
          </cell>
        </row>
        <row r="34">
          <cell r="AG34" t="b">
            <v>0</v>
          </cell>
          <cell r="AM34" t="b">
            <v>0</v>
          </cell>
        </row>
        <row r="35">
          <cell r="AG35" t="b">
            <v>0</v>
          </cell>
          <cell r="AM35" t="b">
            <v>0</v>
          </cell>
        </row>
        <row r="36">
          <cell r="AG36" t="b">
            <v>0</v>
          </cell>
          <cell r="AM36" t="b">
            <v>0</v>
          </cell>
        </row>
        <row r="37">
          <cell r="AG37" t="b">
            <v>0</v>
          </cell>
          <cell r="AM37" t="b">
            <v>0</v>
          </cell>
        </row>
        <row r="38">
          <cell r="AG38" t="b">
            <v>0</v>
          </cell>
          <cell r="AM38" t="b">
            <v>0</v>
          </cell>
        </row>
        <row r="39">
          <cell r="AG39" t="b">
            <v>0</v>
          </cell>
          <cell r="AM39" t="b">
            <v>0</v>
          </cell>
        </row>
        <row r="40">
          <cell r="AG40" t="b">
            <v>0</v>
          </cell>
          <cell r="AM40" t="b">
            <v>0</v>
          </cell>
        </row>
        <row r="41">
          <cell r="AG41" t="b">
            <v>0</v>
          </cell>
          <cell r="AM41" t="b">
            <v>0</v>
          </cell>
        </row>
        <row r="42">
          <cell r="AG42" t="b">
            <v>0</v>
          </cell>
          <cell r="AM42" t="b">
            <v>0</v>
          </cell>
        </row>
        <row r="43">
          <cell r="AG43" t="b">
            <v>0</v>
          </cell>
          <cell r="AM43" t="b">
            <v>0</v>
          </cell>
        </row>
        <row r="44">
          <cell r="AG44" t="b">
            <v>0</v>
          </cell>
          <cell r="AM44" t="b">
            <v>0</v>
          </cell>
        </row>
        <row r="45">
          <cell r="AG45" t="b">
            <v>0</v>
          </cell>
          <cell r="AM45" t="b">
            <v>0</v>
          </cell>
        </row>
        <row r="46">
          <cell r="AG46" t="b">
            <v>0</v>
          </cell>
          <cell r="AM46" t="b">
            <v>0</v>
          </cell>
        </row>
        <row r="47">
          <cell r="AG47" t="b">
            <v>0</v>
          </cell>
          <cell r="AM47" t="b">
            <v>0</v>
          </cell>
        </row>
        <row r="48">
          <cell r="AG48" t="b">
            <v>0</v>
          </cell>
          <cell r="AM48" t="b">
            <v>0</v>
          </cell>
        </row>
        <row r="49">
          <cell r="AG49" t="b">
            <v>0</v>
          </cell>
          <cell r="AM49" t="b">
            <v>0</v>
          </cell>
        </row>
        <row r="50">
          <cell r="AG50" t="b">
            <v>0</v>
          </cell>
          <cell r="AM50" t="b">
            <v>0</v>
          </cell>
        </row>
        <row r="51">
          <cell r="AG51" t="b">
            <v>0</v>
          </cell>
          <cell r="AM51" t="b">
            <v>0</v>
          </cell>
        </row>
        <row r="52">
          <cell r="AG52" t="b">
            <v>0</v>
          </cell>
          <cell r="AM52" t="b">
            <v>0</v>
          </cell>
        </row>
        <row r="53">
          <cell r="AG53" t="b">
            <v>0</v>
          </cell>
          <cell r="AM53" t="b">
            <v>0</v>
          </cell>
        </row>
        <row r="54">
          <cell r="AG54" t="b">
            <v>0</v>
          </cell>
          <cell r="AM54" t="b">
            <v>0</v>
          </cell>
        </row>
        <row r="55">
          <cell r="AG55" t="b">
            <v>0</v>
          </cell>
          <cell r="AM55" t="b">
            <v>0</v>
          </cell>
        </row>
        <row r="56">
          <cell r="AG56" t="b">
            <v>0</v>
          </cell>
          <cell r="AM56" t="b">
            <v>0</v>
          </cell>
        </row>
        <row r="57">
          <cell r="AG57" t="b">
            <v>0</v>
          </cell>
          <cell r="AM57" t="b">
            <v>0</v>
          </cell>
        </row>
        <row r="58">
          <cell r="AG58" t="b">
            <v>0</v>
          </cell>
          <cell r="AM58" t="b">
            <v>0</v>
          </cell>
        </row>
        <row r="59">
          <cell r="AG59" t="b">
            <v>0</v>
          </cell>
          <cell r="AM59" t="b">
            <v>0</v>
          </cell>
        </row>
        <row r="60">
          <cell r="AG60" t="b">
            <v>0</v>
          </cell>
          <cell r="AM60" t="b">
            <v>0</v>
          </cell>
        </row>
        <row r="61">
          <cell r="AG61" t="b">
            <v>0</v>
          </cell>
          <cell r="AM61" t="b">
            <v>0</v>
          </cell>
        </row>
        <row r="62">
          <cell r="AG62" t="b">
            <v>0</v>
          </cell>
          <cell r="AM62" t="b">
            <v>0</v>
          </cell>
        </row>
        <row r="63">
          <cell r="AG63" t="b">
            <v>0</v>
          </cell>
          <cell r="AM63" t="b">
            <v>0</v>
          </cell>
        </row>
        <row r="64">
          <cell r="AG64" t="b">
            <v>0</v>
          </cell>
          <cell r="AM64" t="b">
            <v>0</v>
          </cell>
        </row>
        <row r="65">
          <cell r="AG65" t="b">
            <v>0</v>
          </cell>
          <cell r="AM65" t="b">
            <v>0</v>
          </cell>
        </row>
        <row r="66">
          <cell r="AG66" t="b">
            <v>0</v>
          </cell>
          <cell r="AM66" t="b">
            <v>0</v>
          </cell>
        </row>
        <row r="67">
          <cell r="AG67" t="b">
            <v>0</v>
          </cell>
          <cell r="AM67" t="b">
            <v>0</v>
          </cell>
        </row>
        <row r="68">
          <cell r="AG68" t="b">
            <v>0</v>
          </cell>
          <cell r="AM68" t="b">
            <v>0</v>
          </cell>
        </row>
        <row r="69">
          <cell r="AG69" t="b">
            <v>0</v>
          </cell>
          <cell r="AM69" t="b">
            <v>0</v>
          </cell>
        </row>
        <row r="70">
          <cell r="AG70" t="b">
            <v>0</v>
          </cell>
          <cell r="AM70" t="b">
            <v>0</v>
          </cell>
        </row>
        <row r="71">
          <cell r="AG71" t="b">
            <v>0</v>
          </cell>
          <cell r="AM71" t="b">
            <v>0</v>
          </cell>
        </row>
        <row r="72">
          <cell r="AG72" t="b">
            <v>0</v>
          </cell>
          <cell r="AM72" t="b">
            <v>0</v>
          </cell>
        </row>
        <row r="73">
          <cell r="AG73" t="b">
            <v>0</v>
          </cell>
          <cell r="AM73" t="b">
            <v>0</v>
          </cell>
        </row>
        <row r="74">
          <cell r="AG74" t="b">
            <v>0</v>
          </cell>
          <cell r="AM74" t="b">
            <v>0</v>
          </cell>
        </row>
        <row r="75">
          <cell r="AG75" t="b">
            <v>0</v>
          </cell>
          <cell r="AM75" t="b">
            <v>0</v>
          </cell>
        </row>
        <row r="76">
          <cell r="AG76" t="b">
            <v>0</v>
          </cell>
          <cell r="AM76" t="b">
            <v>0</v>
          </cell>
        </row>
        <row r="77">
          <cell r="AG77" t="b">
            <v>0</v>
          </cell>
          <cell r="AM77" t="b">
            <v>0</v>
          </cell>
        </row>
        <row r="78">
          <cell r="AG78" t="b">
            <v>0</v>
          </cell>
          <cell r="AM78" t="b">
            <v>0</v>
          </cell>
        </row>
        <row r="79">
          <cell r="AG79" t="b">
            <v>0</v>
          </cell>
          <cell r="AM79" t="b">
            <v>0</v>
          </cell>
        </row>
        <row r="80">
          <cell r="AG80" t="b">
            <v>0</v>
          </cell>
          <cell r="AM80" t="b">
            <v>0</v>
          </cell>
        </row>
        <row r="81">
          <cell r="AG81" t="b">
            <v>0</v>
          </cell>
          <cell r="AM81" t="b">
            <v>0</v>
          </cell>
        </row>
        <row r="82">
          <cell r="AG82" t="b">
            <v>0</v>
          </cell>
          <cell r="AM82" t="b">
            <v>0</v>
          </cell>
        </row>
        <row r="83">
          <cell r="AG83" t="b">
            <v>0</v>
          </cell>
          <cell r="AM83" t="b">
            <v>0</v>
          </cell>
        </row>
        <row r="84">
          <cell r="AG84" t="b">
            <v>0</v>
          </cell>
          <cell r="AM84" t="b">
            <v>0</v>
          </cell>
        </row>
        <row r="85">
          <cell r="AG85" t="b">
            <v>0</v>
          </cell>
          <cell r="AM85" t="b">
            <v>0</v>
          </cell>
        </row>
        <row r="86">
          <cell r="AG86" t="b">
            <v>0</v>
          </cell>
          <cell r="AM86" t="b">
            <v>0</v>
          </cell>
        </row>
        <row r="87">
          <cell r="AG87" t="b">
            <v>0</v>
          </cell>
          <cell r="AM87" t="b">
            <v>0</v>
          </cell>
        </row>
        <row r="88">
          <cell r="AG88" t="b">
            <v>0</v>
          </cell>
          <cell r="AM88" t="b">
            <v>0</v>
          </cell>
        </row>
        <row r="89">
          <cell r="AG89" t="b">
            <v>0</v>
          </cell>
          <cell r="AM89" t="b">
            <v>0</v>
          </cell>
        </row>
        <row r="90">
          <cell r="AG90" t="b">
            <v>0</v>
          </cell>
          <cell r="AM90" t="b">
            <v>0</v>
          </cell>
        </row>
        <row r="91">
          <cell r="AG91" t="b">
            <v>0</v>
          </cell>
          <cell r="AM91" t="b">
            <v>0</v>
          </cell>
        </row>
        <row r="92">
          <cell r="AG92" t="b">
            <v>0</v>
          </cell>
          <cell r="AM92" t="b">
            <v>0</v>
          </cell>
        </row>
        <row r="93">
          <cell r="AG93" t="b">
            <v>0</v>
          </cell>
          <cell r="AM93" t="b">
            <v>0</v>
          </cell>
        </row>
        <row r="94">
          <cell r="AG94" t="b">
            <v>0</v>
          </cell>
          <cell r="AM94" t="b">
            <v>0</v>
          </cell>
        </row>
        <row r="95">
          <cell r="AG95" t="b">
            <v>0</v>
          </cell>
          <cell r="AM95" t="b">
            <v>0</v>
          </cell>
        </row>
        <row r="96">
          <cell r="AG96" t="b">
            <v>0</v>
          </cell>
          <cell r="AM96" t="b">
            <v>0</v>
          </cell>
        </row>
        <row r="97">
          <cell r="AG97" t="b">
            <v>0</v>
          </cell>
          <cell r="AM97" t="b">
            <v>0</v>
          </cell>
        </row>
        <row r="98">
          <cell r="AG98" t="b">
            <v>0</v>
          </cell>
          <cell r="AM98" t="b">
            <v>0</v>
          </cell>
        </row>
        <row r="99">
          <cell r="AG99" t="b">
            <v>0</v>
          </cell>
          <cell r="AM99" t="b">
            <v>0</v>
          </cell>
        </row>
        <row r="100">
          <cell r="AG100" t="b">
            <v>0</v>
          </cell>
          <cell r="AM100" t="b">
            <v>0</v>
          </cell>
        </row>
        <row r="101">
          <cell r="AG101" t="b">
            <v>0</v>
          </cell>
          <cell r="AM101" t="b">
            <v>0</v>
          </cell>
        </row>
        <row r="102">
          <cell r="AG102" t="b">
            <v>0</v>
          </cell>
          <cell r="AM102" t="b">
            <v>0</v>
          </cell>
        </row>
        <row r="103">
          <cell r="AG103" t="b">
            <v>0</v>
          </cell>
          <cell r="AM103" t="b">
            <v>0</v>
          </cell>
        </row>
        <row r="104">
          <cell r="AG104" t="b">
            <v>0</v>
          </cell>
          <cell r="AM104" t="b">
            <v>0</v>
          </cell>
        </row>
        <row r="105">
          <cell r="AG105" t="b">
            <v>0</v>
          </cell>
          <cell r="AM105" t="b">
            <v>0</v>
          </cell>
        </row>
        <row r="106">
          <cell r="AG106" t="b">
            <v>0</v>
          </cell>
          <cell r="AM106" t="b">
            <v>0</v>
          </cell>
        </row>
        <row r="107">
          <cell r="AG107" t="b">
            <v>0</v>
          </cell>
          <cell r="AM107" t="b">
            <v>0</v>
          </cell>
        </row>
        <row r="108">
          <cell r="AG108" t="b">
            <v>0</v>
          </cell>
          <cell r="AM108" t="b">
            <v>0</v>
          </cell>
        </row>
        <row r="109">
          <cell r="AG109" t="b">
            <v>0</v>
          </cell>
          <cell r="AM109" t="b">
            <v>0</v>
          </cell>
        </row>
        <row r="110">
          <cell r="AG110" t="b">
            <v>0</v>
          </cell>
          <cell r="AM110" t="b">
            <v>0</v>
          </cell>
        </row>
        <row r="111">
          <cell r="AG111" t="b">
            <v>0</v>
          </cell>
          <cell r="AM111" t="b">
            <v>0</v>
          </cell>
        </row>
        <row r="112">
          <cell r="AG112" t="b">
            <v>0</v>
          </cell>
          <cell r="AM112" t="b">
            <v>0</v>
          </cell>
        </row>
        <row r="113">
          <cell r="AG113" t="b">
            <v>0</v>
          </cell>
          <cell r="AM113" t="b">
            <v>0</v>
          </cell>
        </row>
        <row r="114">
          <cell r="AG114" t="b">
            <v>0</v>
          </cell>
          <cell r="AM114" t="b">
            <v>0</v>
          </cell>
        </row>
        <row r="115">
          <cell r="AG115" t="b">
            <v>0</v>
          </cell>
          <cell r="AM115" t="b">
            <v>0</v>
          </cell>
        </row>
        <row r="116">
          <cell r="AG116" t="b">
            <v>0</v>
          </cell>
          <cell r="AM116" t="b">
            <v>0</v>
          </cell>
        </row>
        <row r="117">
          <cell r="AG117" t="b">
            <v>0</v>
          </cell>
          <cell r="AM117" t="b">
            <v>0</v>
          </cell>
        </row>
        <row r="118">
          <cell r="AG118" t="b">
            <v>0</v>
          </cell>
          <cell r="AM118" t="b">
            <v>0</v>
          </cell>
        </row>
        <row r="119">
          <cell r="AG119" t="b">
            <v>0</v>
          </cell>
          <cell r="AM119" t="b">
            <v>0</v>
          </cell>
        </row>
        <row r="120">
          <cell r="AG120" t="b">
            <v>0</v>
          </cell>
          <cell r="AM120" t="b">
            <v>0</v>
          </cell>
        </row>
        <row r="121">
          <cell r="AG121" t="b">
            <v>0</v>
          </cell>
          <cell r="AM121" t="b">
            <v>0</v>
          </cell>
        </row>
        <row r="122">
          <cell r="AG122" t="b">
            <v>0</v>
          </cell>
          <cell r="AM122" t="b">
            <v>0</v>
          </cell>
        </row>
        <row r="123">
          <cell r="AG123" t="b">
            <v>0</v>
          </cell>
          <cell r="AM123" t="b">
            <v>0</v>
          </cell>
        </row>
        <row r="124">
          <cell r="AG124" t="b">
            <v>0</v>
          </cell>
          <cell r="AM124" t="b">
            <v>0</v>
          </cell>
        </row>
        <row r="125">
          <cell r="AG125" t="b">
            <v>0</v>
          </cell>
          <cell r="AM125" t="b">
            <v>0</v>
          </cell>
        </row>
        <row r="126">
          <cell r="AG126" t="b">
            <v>0</v>
          </cell>
          <cell r="AM126" t="b">
            <v>0</v>
          </cell>
        </row>
        <row r="127">
          <cell r="AG127" t="b">
            <v>0</v>
          </cell>
          <cell r="AM127" t="b">
            <v>0</v>
          </cell>
        </row>
        <row r="128">
          <cell r="AG128" t="b">
            <v>0</v>
          </cell>
          <cell r="AM128" t="b">
            <v>0</v>
          </cell>
        </row>
        <row r="129">
          <cell r="AG129" t="b">
            <v>0</v>
          </cell>
          <cell r="AM129" t="b">
            <v>0</v>
          </cell>
        </row>
        <row r="130">
          <cell r="AG130" t="b">
            <v>0</v>
          </cell>
          <cell r="AM130" t="b">
            <v>0</v>
          </cell>
        </row>
        <row r="131">
          <cell r="AG131" t="b">
            <v>0</v>
          </cell>
          <cell r="AM131" t="b">
            <v>0</v>
          </cell>
        </row>
        <row r="132">
          <cell r="AG132" t="b">
            <v>0</v>
          </cell>
          <cell r="AM132" t="b">
            <v>0</v>
          </cell>
        </row>
        <row r="133">
          <cell r="AG133" t="b">
            <v>0</v>
          </cell>
          <cell r="AM133" t="b">
            <v>0</v>
          </cell>
        </row>
        <row r="134">
          <cell r="AG134" t="b">
            <v>0</v>
          </cell>
          <cell r="AM134" t="b">
            <v>0</v>
          </cell>
        </row>
        <row r="135">
          <cell r="AG135" t="b">
            <v>0</v>
          </cell>
          <cell r="AM135" t="b">
            <v>0</v>
          </cell>
        </row>
        <row r="136">
          <cell r="AG136" t="b">
            <v>0</v>
          </cell>
          <cell r="AM136" t="b">
            <v>0</v>
          </cell>
        </row>
        <row r="137">
          <cell r="AG137" t="b">
            <v>0</v>
          </cell>
          <cell r="AM137" t="b">
            <v>0</v>
          </cell>
        </row>
        <row r="138">
          <cell r="AG138" t="b">
            <v>0</v>
          </cell>
          <cell r="AM138" t="b">
            <v>0</v>
          </cell>
        </row>
        <row r="139">
          <cell r="AG139" t="b">
            <v>0</v>
          </cell>
          <cell r="AM139" t="b">
            <v>0</v>
          </cell>
        </row>
        <row r="140">
          <cell r="AG140" t="b">
            <v>0</v>
          </cell>
          <cell r="AM140" t="b">
            <v>0</v>
          </cell>
        </row>
        <row r="141">
          <cell r="AG141" t="b">
            <v>0</v>
          </cell>
          <cell r="AM141" t="b">
            <v>0</v>
          </cell>
        </row>
        <row r="142">
          <cell r="AG142" t="b">
            <v>0</v>
          </cell>
          <cell r="AM142" t="b">
            <v>0</v>
          </cell>
        </row>
        <row r="143">
          <cell r="AG143" t="b">
            <v>0</v>
          </cell>
          <cell r="AM143" t="b">
            <v>0</v>
          </cell>
        </row>
        <row r="144">
          <cell r="AG144" t="b">
            <v>0</v>
          </cell>
          <cell r="AM144" t="b">
            <v>0</v>
          </cell>
        </row>
        <row r="145">
          <cell r="AG145" t="b">
            <v>0</v>
          </cell>
          <cell r="AM145" t="b">
            <v>0</v>
          </cell>
        </row>
        <row r="146">
          <cell r="AG146" t="b">
            <v>0</v>
          </cell>
          <cell r="AM146" t="b">
            <v>0</v>
          </cell>
        </row>
        <row r="147">
          <cell r="AG147" t="b">
            <v>0</v>
          </cell>
          <cell r="AM147" t="b">
            <v>0</v>
          </cell>
        </row>
        <row r="148">
          <cell r="AG148" t="b">
            <v>0</v>
          </cell>
          <cell r="AM148" t="b">
            <v>0</v>
          </cell>
        </row>
        <row r="149">
          <cell r="AG149" t="b">
            <v>0</v>
          </cell>
          <cell r="AM149" t="b">
            <v>0</v>
          </cell>
        </row>
        <row r="150">
          <cell r="AG150" t="b">
            <v>0</v>
          </cell>
          <cell r="AM150" t="b">
            <v>0</v>
          </cell>
        </row>
        <row r="151">
          <cell r="AG151" t="b">
            <v>0</v>
          </cell>
          <cell r="AM151" t="b">
            <v>0</v>
          </cell>
        </row>
        <row r="152">
          <cell r="AG152" t="b">
            <v>0</v>
          </cell>
          <cell r="AM152" t="b">
            <v>0</v>
          </cell>
        </row>
        <row r="153">
          <cell r="AG153" t="b">
            <v>0</v>
          </cell>
          <cell r="AM153" t="b">
            <v>0</v>
          </cell>
        </row>
        <row r="154">
          <cell r="AG154" t="b">
            <v>0</v>
          </cell>
          <cell r="AM154" t="b">
            <v>0</v>
          </cell>
        </row>
        <row r="155">
          <cell r="AG155" t="b">
            <v>0</v>
          </cell>
          <cell r="AM155" t="b">
            <v>0</v>
          </cell>
        </row>
        <row r="156">
          <cell r="AG156" t="b">
            <v>0</v>
          </cell>
          <cell r="AM156" t="b">
            <v>0</v>
          </cell>
        </row>
        <row r="157">
          <cell r="AG157" t="b">
            <v>0</v>
          </cell>
          <cell r="AM157" t="b">
            <v>0</v>
          </cell>
        </row>
        <row r="158">
          <cell r="AG158" t="b">
            <v>0</v>
          </cell>
          <cell r="AM158" t="b">
            <v>0</v>
          </cell>
        </row>
        <row r="159">
          <cell r="AG159" t="b">
            <v>0</v>
          </cell>
          <cell r="AM159" t="b">
            <v>0</v>
          </cell>
        </row>
        <row r="160">
          <cell r="AG160" t="b">
            <v>0</v>
          </cell>
          <cell r="AM160" t="b">
            <v>0</v>
          </cell>
        </row>
        <row r="161">
          <cell r="AG161" t="b">
            <v>0</v>
          </cell>
          <cell r="AM161" t="b">
            <v>0</v>
          </cell>
        </row>
        <row r="162">
          <cell r="AG162" t="b">
            <v>0</v>
          </cell>
          <cell r="AM162" t="b">
            <v>0</v>
          </cell>
        </row>
        <row r="163">
          <cell r="AG163" t="b">
            <v>0</v>
          </cell>
          <cell r="AM163" t="b">
            <v>0</v>
          </cell>
        </row>
        <row r="164">
          <cell r="AG164" t="b">
            <v>0</v>
          </cell>
          <cell r="AM164" t="b">
            <v>0</v>
          </cell>
        </row>
        <row r="165">
          <cell r="AG165" t="b">
            <v>0</v>
          </cell>
          <cell r="AM165" t="b">
            <v>0</v>
          </cell>
        </row>
        <row r="166">
          <cell r="AG166" t="b">
            <v>0</v>
          </cell>
          <cell r="AM166" t="b">
            <v>0</v>
          </cell>
        </row>
        <row r="167">
          <cell r="AG167" t="b">
            <v>0</v>
          </cell>
          <cell r="AM167" t="b">
            <v>0</v>
          </cell>
        </row>
        <row r="168">
          <cell r="AG168" t="b">
            <v>0</v>
          </cell>
          <cell r="AM168" t="b">
            <v>0</v>
          </cell>
        </row>
        <row r="169">
          <cell r="AG169" t="b">
            <v>0</v>
          </cell>
          <cell r="AM169" t="b">
            <v>0</v>
          </cell>
        </row>
        <row r="170">
          <cell r="AG170" t="b">
            <v>0</v>
          </cell>
          <cell r="AM170" t="b">
            <v>0</v>
          </cell>
        </row>
        <row r="171">
          <cell r="AG171" t="b">
            <v>0</v>
          </cell>
          <cell r="AM171" t="b">
            <v>0</v>
          </cell>
        </row>
        <row r="172">
          <cell r="AG172" t="b">
            <v>0</v>
          </cell>
          <cell r="AM172" t="b">
            <v>0</v>
          </cell>
        </row>
        <row r="173">
          <cell r="AG173" t="b">
            <v>0</v>
          </cell>
          <cell r="AM173" t="b">
            <v>0</v>
          </cell>
        </row>
        <row r="174">
          <cell r="AG174" t="b">
            <v>0</v>
          </cell>
          <cell r="AM174" t="b">
            <v>0</v>
          </cell>
        </row>
        <row r="175">
          <cell r="AG175" t="b">
            <v>0</v>
          </cell>
          <cell r="AM175" t="b">
            <v>0</v>
          </cell>
        </row>
        <row r="176">
          <cell r="AG176" t="b">
            <v>0</v>
          </cell>
          <cell r="AM176" t="b">
            <v>0</v>
          </cell>
        </row>
        <row r="177">
          <cell r="AG177" t="b">
            <v>0</v>
          </cell>
          <cell r="AM177" t="b">
            <v>0</v>
          </cell>
        </row>
        <row r="178">
          <cell r="AG178" t="b">
            <v>0</v>
          </cell>
          <cell r="AM178" t="b">
            <v>0</v>
          </cell>
        </row>
        <row r="179">
          <cell r="AG179" t="b">
            <v>0</v>
          </cell>
          <cell r="AM179" t="b">
            <v>0</v>
          </cell>
        </row>
        <row r="180">
          <cell r="AG180" t="b">
            <v>0</v>
          </cell>
          <cell r="AM180" t="b">
            <v>0</v>
          </cell>
        </row>
        <row r="181">
          <cell r="AG181" t="b">
            <v>0</v>
          </cell>
          <cell r="AM181" t="b">
            <v>0</v>
          </cell>
        </row>
        <row r="182">
          <cell r="AG182" t="b">
            <v>0</v>
          </cell>
          <cell r="AM182" t="b">
            <v>0</v>
          </cell>
        </row>
        <row r="183">
          <cell r="AG183" t="b">
            <v>0</v>
          </cell>
          <cell r="AM183" t="b">
            <v>0</v>
          </cell>
        </row>
        <row r="184">
          <cell r="AG184" t="b">
            <v>0</v>
          </cell>
          <cell r="AM184" t="b">
            <v>0</v>
          </cell>
        </row>
        <row r="185">
          <cell r="AG185" t="b">
            <v>0</v>
          </cell>
          <cell r="AM185" t="b">
            <v>0</v>
          </cell>
        </row>
        <row r="186">
          <cell r="AG186" t="b">
            <v>0</v>
          </cell>
          <cell r="AM186" t="b">
            <v>0</v>
          </cell>
        </row>
        <row r="187">
          <cell r="AG187" t="b">
            <v>0</v>
          </cell>
          <cell r="AM187" t="b">
            <v>0</v>
          </cell>
        </row>
        <row r="188">
          <cell r="AG188" t="b">
            <v>0</v>
          </cell>
          <cell r="AM188" t="b">
            <v>0</v>
          </cell>
        </row>
        <row r="189">
          <cell r="AG189" t="b">
            <v>0</v>
          </cell>
          <cell r="AM189" t="b">
            <v>0</v>
          </cell>
        </row>
        <row r="190">
          <cell r="AG190" t="b">
            <v>0</v>
          </cell>
          <cell r="AM190" t="b">
            <v>0</v>
          </cell>
        </row>
        <row r="191">
          <cell r="AG191" t="b">
            <v>0</v>
          </cell>
          <cell r="AM191" t="b">
            <v>0</v>
          </cell>
        </row>
        <row r="192">
          <cell r="AG192" t="b">
            <v>0</v>
          </cell>
          <cell r="AM192" t="b">
            <v>0</v>
          </cell>
        </row>
        <row r="193">
          <cell r="AG193" t="b">
            <v>0</v>
          </cell>
          <cell r="AM193" t="b">
            <v>0</v>
          </cell>
        </row>
        <row r="194">
          <cell r="AG194" t="b">
            <v>0</v>
          </cell>
          <cell r="AM194" t="b">
            <v>0</v>
          </cell>
        </row>
        <row r="195">
          <cell r="AG195" t="b">
            <v>0</v>
          </cell>
          <cell r="AM195" t="b">
            <v>0</v>
          </cell>
        </row>
        <row r="196">
          <cell r="AG196" t="b">
            <v>0</v>
          </cell>
          <cell r="AM196" t="b">
            <v>0</v>
          </cell>
        </row>
        <row r="197">
          <cell r="AG197" t="b">
            <v>0</v>
          </cell>
          <cell r="AM197" t="b">
            <v>0</v>
          </cell>
        </row>
        <row r="198">
          <cell r="AG198" t="b">
            <v>0</v>
          </cell>
          <cell r="AM198" t="b">
            <v>0</v>
          </cell>
        </row>
        <row r="199">
          <cell r="AG199" t="b">
            <v>0</v>
          </cell>
          <cell r="AM199" t="b">
            <v>0</v>
          </cell>
        </row>
        <row r="200">
          <cell r="AG200" t="b">
            <v>0</v>
          </cell>
          <cell r="AM200" t="b">
            <v>0</v>
          </cell>
        </row>
        <row r="201">
          <cell r="AG201" t="b">
            <v>0</v>
          </cell>
          <cell r="AM201" t="b">
            <v>0</v>
          </cell>
        </row>
        <row r="202">
          <cell r="AG202" t="b">
            <v>0</v>
          </cell>
          <cell r="AM202" t="b">
            <v>0</v>
          </cell>
        </row>
        <row r="203">
          <cell r="AG203" t="b">
            <v>0</v>
          </cell>
          <cell r="AM203" t="b">
            <v>0</v>
          </cell>
        </row>
        <row r="204">
          <cell r="AG204" t="b">
            <v>0</v>
          </cell>
          <cell r="AM204" t="b">
            <v>0</v>
          </cell>
        </row>
        <row r="205">
          <cell r="AG205" t="b">
            <v>0</v>
          </cell>
          <cell r="AM205" t="b">
            <v>0</v>
          </cell>
        </row>
        <row r="206">
          <cell r="AG206" t="b">
            <v>0</v>
          </cell>
          <cell r="AM206" t="b">
            <v>0</v>
          </cell>
        </row>
        <row r="207">
          <cell r="AG207" t="b">
            <v>0</v>
          </cell>
          <cell r="AM207" t="b">
            <v>0</v>
          </cell>
        </row>
        <row r="208">
          <cell r="AG208" t="b">
            <v>0</v>
          </cell>
          <cell r="AM208" t="b">
            <v>0</v>
          </cell>
        </row>
        <row r="209">
          <cell r="AG209" t="b">
            <v>0</v>
          </cell>
          <cell r="AM209" t="b">
            <v>0</v>
          </cell>
        </row>
        <row r="210">
          <cell r="AG210" t="b">
            <v>0</v>
          </cell>
          <cell r="AM210" t="b">
            <v>0</v>
          </cell>
        </row>
        <row r="211">
          <cell r="AG211" t="b">
            <v>0</v>
          </cell>
          <cell r="AM211" t="b">
            <v>0</v>
          </cell>
        </row>
        <row r="212">
          <cell r="AG212" t="b">
            <v>0</v>
          </cell>
          <cell r="AM212" t="b">
            <v>0</v>
          </cell>
        </row>
        <row r="213">
          <cell r="AG213" t="b">
            <v>0</v>
          </cell>
          <cell r="AM213" t="b">
            <v>0</v>
          </cell>
        </row>
        <row r="214">
          <cell r="AG214" t="b">
            <v>0</v>
          </cell>
          <cell r="AM214" t="b">
            <v>0</v>
          </cell>
        </row>
        <row r="215">
          <cell r="AG215" t="b">
            <v>0</v>
          </cell>
          <cell r="AM215" t="b">
            <v>0</v>
          </cell>
        </row>
        <row r="216">
          <cell r="AG216" t="b">
            <v>0</v>
          </cell>
          <cell r="AM216" t="b">
            <v>0</v>
          </cell>
        </row>
        <row r="217">
          <cell r="AG217" t="b">
            <v>0</v>
          </cell>
          <cell r="AM217" t="b">
            <v>0</v>
          </cell>
        </row>
        <row r="218">
          <cell r="AG218" t="b">
            <v>0</v>
          </cell>
          <cell r="AM218" t="b">
            <v>0</v>
          </cell>
        </row>
        <row r="219">
          <cell r="AG219" t="b">
            <v>0</v>
          </cell>
          <cell r="AM219" t="b">
            <v>0</v>
          </cell>
        </row>
        <row r="220">
          <cell r="AG220" t="b">
            <v>0</v>
          </cell>
          <cell r="AM220" t="b">
            <v>0</v>
          </cell>
        </row>
        <row r="221">
          <cell r="AG221" t="b">
            <v>0</v>
          </cell>
          <cell r="AM221" t="b">
            <v>0</v>
          </cell>
        </row>
        <row r="222">
          <cell r="AG222" t="b">
            <v>0</v>
          </cell>
          <cell r="AM222" t="b">
            <v>0</v>
          </cell>
        </row>
        <row r="223">
          <cell r="AG223" t="b">
            <v>0</v>
          </cell>
          <cell r="AM223" t="b">
            <v>0</v>
          </cell>
        </row>
        <row r="224">
          <cell r="AG224" t="b">
            <v>0</v>
          </cell>
          <cell r="AM224" t="b">
            <v>0</v>
          </cell>
        </row>
        <row r="225">
          <cell r="AG225" t="b">
            <v>0</v>
          </cell>
          <cell r="AM225" t="b">
            <v>0</v>
          </cell>
        </row>
        <row r="226">
          <cell r="AG226" t="b">
            <v>0</v>
          </cell>
          <cell r="AM226" t="b">
            <v>0</v>
          </cell>
        </row>
        <row r="227">
          <cell r="AG227" t="b">
            <v>0</v>
          </cell>
          <cell r="AM227" t="b">
            <v>0</v>
          </cell>
        </row>
        <row r="228">
          <cell r="AG228" t="b">
            <v>0</v>
          </cell>
          <cell r="AM228" t="b">
            <v>0</v>
          </cell>
        </row>
        <row r="229">
          <cell r="AG229" t="b">
            <v>0</v>
          </cell>
          <cell r="AM229" t="b">
            <v>0</v>
          </cell>
        </row>
        <row r="230">
          <cell r="AG230" t="b">
            <v>0</v>
          </cell>
          <cell r="AM230" t="b">
            <v>0</v>
          </cell>
        </row>
        <row r="231">
          <cell r="AG231" t="b">
            <v>0</v>
          </cell>
          <cell r="AM231" t="b">
            <v>0</v>
          </cell>
        </row>
        <row r="232">
          <cell r="AG232" t="b">
            <v>0</v>
          </cell>
          <cell r="AM232" t="b">
            <v>0</v>
          </cell>
        </row>
        <row r="233">
          <cell r="AG233" t="b">
            <v>0</v>
          </cell>
          <cell r="AM233" t="b">
            <v>0</v>
          </cell>
        </row>
        <row r="234">
          <cell r="AG234" t="b">
            <v>0</v>
          </cell>
          <cell r="AM234" t="b">
            <v>0</v>
          </cell>
        </row>
        <row r="235">
          <cell r="AG235" t="b">
            <v>0</v>
          </cell>
          <cell r="AM235" t="b">
            <v>0</v>
          </cell>
        </row>
        <row r="236">
          <cell r="AG236" t="b">
            <v>0</v>
          </cell>
          <cell r="AM236" t="b">
            <v>0</v>
          </cell>
        </row>
        <row r="237">
          <cell r="AG237" t="b">
            <v>0</v>
          </cell>
          <cell r="AM237" t="b">
            <v>0</v>
          </cell>
        </row>
        <row r="238">
          <cell r="AG238" t="b">
            <v>0</v>
          </cell>
          <cell r="AM238" t="b">
            <v>0</v>
          </cell>
        </row>
        <row r="239">
          <cell r="AG239" t="b">
            <v>0</v>
          </cell>
          <cell r="AM239" t="b">
            <v>0</v>
          </cell>
        </row>
        <row r="240">
          <cell r="AG240" t="b">
            <v>0</v>
          </cell>
          <cell r="AM240" t="b">
            <v>0</v>
          </cell>
        </row>
        <row r="241">
          <cell r="AG241" t="b">
            <v>0</v>
          </cell>
          <cell r="AM241" t="b">
            <v>0</v>
          </cell>
        </row>
        <row r="242">
          <cell r="AG242" t="b">
            <v>0</v>
          </cell>
          <cell r="AM242" t="b">
            <v>0</v>
          </cell>
        </row>
        <row r="243">
          <cell r="AG243" t="b">
            <v>0</v>
          </cell>
          <cell r="AM243" t="b">
            <v>0</v>
          </cell>
        </row>
        <row r="244">
          <cell r="AG244" t="b">
            <v>0</v>
          </cell>
          <cell r="AM244" t="b">
            <v>0</v>
          </cell>
        </row>
        <row r="245">
          <cell r="AG245" t="b">
            <v>0</v>
          </cell>
          <cell r="AM245" t="b">
            <v>0</v>
          </cell>
        </row>
        <row r="246">
          <cell r="AG246" t="b">
            <v>0</v>
          </cell>
          <cell r="AM246" t="b">
            <v>0</v>
          </cell>
        </row>
        <row r="247">
          <cell r="AG247" t="b">
            <v>0</v>
          </cell>
          <cell r="AM247" t="b">
            <v>0</v>
          </cell>
        </row>
        <row r="248">
          <cell r="AG248" t="b">
            <v>0</v>
          </cell>
          <cell r="AM248" t="b">
            <v>0</v>
          </cell>
        </row>
        <row r="249">
          <cell r="AG249" t="b">
            <v>0</v>
          </cell>
          <cell r="AM249" t="b">
            <v>0</v>
          </cell>
        </row>
        <row r="250">
          <cell r="AG250" t="b">
            <v>0</v>
          </cell>
          <cell r="AM250" t="b">
            <v>0</v>
          </cell>
        </row>
        <row r="251">
          <cell r="AG251" t="b">
            <v>0</v>
          </cell>
          <cell r="AM251" t="b">
            <v>0</v>
          </cell>
        </row>
        <row r="252">
          <cell r="AG252" t="b">
            <v>0</v>
          </cell>
          <cell r="AM252" t="b">
            <v>0</v>
          </cell>
        </row>
        <row r="253">
          <cell r="AG253" t="b">
            <v>0</v>
          </cell>
          <cell r="AM253" t="b">
            <v>0</v>
          </cell>
        </row>
        <row r="254">
          <cell r="AG254" t="b">
            <v>0</v>
          </cell>
          <cell r="AM254" t="b">
            <v>0</v>
          </cell>
        </row>
        <row r="255">
          <cell r="AG255" t="b">
            <v>0</v>
          </cell>
          <cell r="AM255" t="b">
            <v>0</v>
          </cell>
        </row>
        <row r="256">
          <cell r="AG256" t="b">
            <v>0</v>
          </cell>
          <cell r="AM256" t="b">
            <v>0</v>
          </cell>
        </row>
        <row r="257">
          <cell r="AG257" t="b">
            <v>0</v>
          </cell>
          <cell r="AM257" t="b">
            <v>0</v>
          </cell>
        </row>
        <row r="258">
          <cell r="AG258" t="b">
            <v>0</v>
          </cell>
          <cell r="AM258" t="b">
            <v>0</v>
          </cell>
        </row>
        <row r="259">
          <cell r="AG259" t="b">
            <v>0</v>
          </cell>
          <cell r="AM259" t="b">
            <v>0</v>
          </cell>
        </row>
        <row r="260">
          <cell r="AG260" t="b">
            <v>0</v>
          </cell>
          <cell r="AM260" t="b">
            <v>0</v>
          </cell>
        </row>
        <row r="261">
          <cell r="AG261" t="b">
            <v>0</v>
          </cell>
          <cell r="AM261" t="b">
            <v>0</v>
          </cell>
        </row>
        <row r="262">
          <cell r="AG262" t="b">
            <v>0</v>
          </cell>
          <cell r="AM262" t="b">
            <v>0</v>
          </cell>
        </row>
        <row r="263">
          <cell r="AG263" t="b">
            <v>0</v>
          </cell>
          <cell r="AM263" t="b">
            <v>0</v>
          </cell>
        </row>
        <row r="264">
          <cell r="AG264" t="b">
            <v>0</v>
          </cell>
          <cell r="AM264" t="b">
            <v>0</v>
          </cell>
        </row>
        <row r="265">
          <cell r="AG265" t="b">
            <v>0</v>
          </cell>
          <cell r="AM265" t="b">
            <v>0</v>
          </cell>
        </row>
        <row r="266">
          <cell r="AG266" t="b">
            <v>0</v>
          </cell>
          <cell r="AM266" t="b">
            <v>0</v>
          </cell>
        </row>
        <row r="267">
          <cell r="AG267" t="b">
            <v>0</v>
          </cell>
          <cell r="AM267" t="b">
            <v>0</v>
          </cell>
        </row>
        <row r="268">
          <cell r="AG268" t="b">
            <v>0</v>
          </cell>
          <cell r="AM268" t="b">
            <v>0</v>
          </cell>
        </row>
        <row r="269">
          <cell r="AG269" t="b">
            <v>0</v>
          </cell>
          <cell r="AM269" t="b">
            <v>0</v>
          </cell>
        </row>
        <row r="270">
          <cell r="AG270" t="b">
            <v>0</v>
          </cell>
          <cell r="AM270" t="b">
            <v>0</v>
          </cell>
        </row>
        <row r="271">
          <cell r="AG271" t="b">
            <v>0</v>
          </cell>
          <cell r="AM271" t="b">
            <v>0</v>
          </cell>
        </row>
        <row r="272">
          <cell r="AG272" t="b">
            <v>0</v>
          </cell>
          <cell r="AM272" t="b">
            <v>0</v>
          </cell>
        </row>
        <row r="273">
          <cell r="AG273" t="b">
            <v>0</v>
          </cell>
          <cell r="AM273" t="b">
            <v>0</v>
          </cell>
        </row>
        <row r="274">
          <cell r="AG274" t="b">
            <v>0</v>
          </cell>
          <cell r="AM274" t="b">
            <v>0</v>
          </cell>
        </row>
        <row r="275">
          <cell r="AG275" t="b">
            <v>0</v>
          </cell>
          <cell r="AM275" t="b">
            <v>0</v>
          </cell>
        </row>
        <row r="276">
          <cell r="AG276" t="b">
            <v>0</v>
          </cell>
          <cell r="AM276" t="b">
            <v>0</v>
          </cell>
        </row>
        <row r="277">
          <cell r="AG277" t="b">
            <v>0</v>
          </cell>
          <cell r="AM277" t="b">
            <v>0</v>
          </cell>
        </row>
        <row r="278">
          <cell r="AG278" t="b">
            <v>0</v>
          </cell>
          <cell r="AM278" t="b">
            <v>0</v>
          </cell>
        </row>
        <row r="279">
          <cell r="AG279" t="b">
            <v>0</v>
          </cell>
          <cell r="AM279" t="b">
            <v>0</v>
          </cell>
        </row>
        <row r="280">
          <cell r="AG280" t="b">
            <v>0</v>
          </cell>
          <cell r="AM280" t="b">
            <v>0</v>
          </cell>
        </row>
        <row r="281">
          <cell r="AG281" t="b">
            <v>0</v>
          </cell>
          <cell r="AM281" t="b">
            <v>0</v>
          </cell>
        </row>
        <row r="282">
          <cell r="AG282" t="b">
            <v>0</v>
          </cell>
          <cell r="AM282" t="b">
            <v>0</v>
          </cell>
        </row>
        <row r="283">
          <cell r="AG283" t="b">
            <v>0</v>
          </cell>
          <cell r="AM283" t="b">
            <v>0</v>
          </cell>
        </row>
        <row r="284">
          <cell r="AG284" t="b">
            <v>0</v>
          </cell>
          <cell r="AM284" t="b">
            <v>0</v>
          </cell>
        </row>
        <row r="285">
          <cell r="AG285" t="b">
            <v>0</v>
          </cell>
          <cell r="AM285" t="b">
            <v>0</v>
          </cell>
        </row>
        <row r="286">
          <cell r="AG286" t="b">
            <v>0</v>
          </cell>
          <cell r="AM286" t="b">
            <v>0</v>
          </cell>
        </row>
        <row r="287">
          <cell r="AG287" t="b">
            <v>0</v>
          </cell>
          <cell r="AM287" t="b">
            <v>0</v>
          </cell>
        </row>
        <row r="288">
          <cell r="AG288" t="b">
            <v>0</v>
          </cell>
          <cell r="AM288" t="b">
            <v>0</v>
          </cell>
        </row>
        <row r="289">
          <cell r="AG289" t="b">
            <v>0</v>
          </cell>
          <cell r="AM289" t="b">
            <v>0</v>
          </cell>
        </row>
        <row r="290">
          <cell r="AG290" t="b">
            <v>0</v>
          </cell>
          <cell r="AM290" t="b">
            <v>0</v>
          </cell>
        </row>
        <row r="291">
          <cell r="AG291" t="b">
            <v>0</v>
          </cell>
          <cell r="AM291" t="b">
            <v>0</v>
          </cell>
        </row>
        <row r="292">
          <cell r="AG292" t="b">
            <v>0</v>
          </cell>
          <cell r="AM292" t="b">
            <v>0</v>
          </cell>
        </row>
        <row r="293">
          <cell r="AG293" t="b">
            <v>0</v>
          </cell>
          <cell r="AM293" t="b">
            <v>0</v>
          </cell>
        </row>
        <row r="294">
          <cell r="AG294" t="b">
            <v>0</v>
          </cell>
          <cell r="AM294" t="b">
            <v>0</v>
          </cell>
        </row>
        <row r="295">
          <cell r="AG295" t="b">
            <v>0</v>
          </cell>
          <cell r="AM295" t="b">
            <v>0</v>
          </cell>
        </row>
        <row r="296">
          <cell r="AG296" t="b">
            <v>0</v>
          </cell>
          <cell r="AM296" t="b">
            <v>0</v>
          </cell>
        </row>
        <row r="297">
          <cell r="AG297" t="b">
            <v>0</v>
          </cell>
          <cell r="AM297" t="b">
            <v>0</v>
          </cell>
        </row>
        <row r="298">
          <cell r="AG298" t="b">
            <v>0</v>
          </cell>
          <cell r="AM298" t="b">
            <v>0</v>
          </cell>
        </row>
        <row r="299">
          <cell r="AG299" t="b">
            <v>0</v>
          </cell>
          <cell r="AM299" t="b">
            <v>0</v>
          </cell>
        </row>
        <row r="300">
          <cell r="AG300" t="b">
            <v>0</v>
          </cell>
          <cell r="AM300" t="b">
            <v>0</v>
          </cell>
        </row>
        <row r="301">
          <cell r="AG301" t="b">
            <v>0</v>
          </cell>
          <cell r="AM301" t="b">
            <v>0</v>
          </cell>
        </row>
        <row r="302">
          <cell r="AG302" t="b">
            <v>0</v>
          </cell>
          <cell r="AM302" t="b">
            <v>0</v>
          </cell>
        </row>
        <row r="303">
          <cell r="AG303" t="b">
            <v>0</v>
          </cell>
          <cell r="AM303" t="b">
            <v>0</v>
          </cell>
        </row>
        <row r="304">
          <cell r="AG304" t="b">
            <v>0</v>
          </cell>
          <cell r="AM304" t="b">
            <v>0</v>
          </cell>
        </row>
        <row r="305">
          <cell r="AG305" t="b">
            <v>0</v>
          </cell>
          <cell r="AM305" t="b">
            <v>0</v>
          </cell>
        </row>
        <row r="306">
          <cell r="AG306" t="b">
            <v>0</v>
          </cell>
          <cell r="AM306" t="b">
            <v>0</v>
          </cell>
        </row>
        <row r="307">
          <cell r="AG307" t="b">
            <v>0</v>
          </cell>
          <cell r="AM307" t="b">
            <v>0</v>
          </cell>
        </row>
        <row r="308">
          <cell r="AG308" t="b">
            <v>0</v>
          </cell>
          <cell r="AM308" t="b">
            <v>0</v>
          </cell>
        </row>
        <row r="309">
          <cell r="AG309" t="b">
            <v>0</v>
          </cell>
          <cell r="AM309" t="b">
            <v>0</v>
          </cell>
        </row>
        <row r="310">
          <cell r="AG310" t="b">
            <v>0</v>
          </cell>
          <cell r="AM310" t="b">
            <v>0</v>
          </cell>
        </row>
        <row r="311">
          <cell r="AG311" t="b">
            <v>0</v>
          </cell>
          <cell r="AM311" t="b">
            <v>0</v>
          </cell>
        </row>
        <row r="312">
          <cell r="AG312" t="b">
            <v>0</v>
          </cell>
          <cell r="AM312" t="b">
            <v>0</v>
          </cell>
        </row>
        <row r="313">
          <cell r="AG313" t="b">
            <v>0</v>
          </cell>
          <cell r="AM313" t="b">
            <v>0</v>
          </cell>
        </row>
        <row r="314">
          <cell r="AG314" t="b">
            <v>0</v>
          </cell>
          <cell r="AM314" t="b">
            <v>0</v>
          </cell>
        </row>
        <row r="315">
          <cell r="AG315" t="b">
            <v>0</v>
          </cell>
          <cell r="AM315" t="b">
            <v>0</v>
          </cell>
        </row>
        <row r="316">
          <cell r="AG316" t="b">
            <v>0</v>
          </cell>
          <cell r="AM316" t="b">
            <v>0</v>
          </cell>
        </row>
        <row r="317">
          <cell r="AG317" t="b">
            <v>0</v>
          </cell>
          <cell r="AM317" t="b">
            <v>0</v>
          </cell>
        </row>
        <row r="318">
          <cell r="AG318" t="b">
            <v>0</v>
          </cell>
          <cell r="AM318" t="b">
            <v>0</v>
          </cell>
        </row>
        <row r="319">
          <cell r="AG319" t="b">
            <v>0</v>
          </cell>
          <cell r="AM319" t="b">
            <v>0</v>
          </cell>
        </row>
        <row r="320">
          <cell r="AG320" t="b">
            <v>0</v>
          </cell>
          <cell r="AM320" t="b">
            <v>0</v>
          </cell>
        </row>
        <row r="321">
          <cell r="AG321" t="b">
            <v>0</v>
          </cell>
          <cell r="AM321" t="b">
            <v>0</v>
          </cell>
        </row>
        <row r="322">
          <cell r="AG322" t="b">
            <v>0</v>
          </cell>
          <cell r="AM322" t="b">
            <v>0</v>
          </cell>
        </row>
        <row r="323">
          <cell r="AG323" t="b">
            <v>0</v>
          </cell>
          <cell r="AM323" t="b">
            <v>0</v>
          </cell>
        </row>
        <row r="324">
          <cell r="AG324" t="b">
            <v>0</v>
          </cell>
          <cell r="AM324" t="b">
            <v>0</v>
          </cell>
        </row>
        <row r="325">
          <cell r="AG325" t="b">
            <v>0</v>
          </cell>
          <cell r="AM325" t="b">
            <v>0</v>
          </cell>
        </row>
        <row r="326">
          <cell r="AG326" t="b">
            <v>0</v>
          </cell>
          <cell r="AM326" t="b">
            <v>0</v>
          </cell>
        </row>
        <row r="327">
          <cell r="AG327" t="b">
            <v>0</v>
          </cell>
          <cell r="AM327" t="b">
            <v>0</v>
          </cell>
        </row>
        <row r="328">
          <cell r="AG328" t="b">
            <v>0</v>
          </cell>
          <cell r="AM328" t="b">
            <v>0</v>
          </cell>
        </row>
        <row r="329">
          <cell r="AG329" t="b">
            <v>0</v>
          </cell>
          <cell r="AM329" t="b">
            <v>0</v>
          </cell>
        </row>
        <row r="330">
          <cell r="AG330" t="b">
            <v>0</v>
          </cell>
          <cell r="AM330" t="b">
            <v>0</v>
          </cell>
        </row>
        <row r="331">
          <cell r="AG331" t="b">
            <v>0</v>
          </cell>
          <cell r="AM331" t="b">
            <v>0</v>
          </cell>
        </row>
        <row r="332">
          <cell r="AG332" t="b">
            <v>0</v>
          </cell>
          <cell r="AM332" t="b">
            <v>0</v>
          </cell>
        </row>
        <row r="333">
          <cell r="AG333" t="b">
            <v>0</v>
          </cell>
          <cell r="AM333" t="b">
            <v>0</v>
          </cell>
        </row>
        <row r="334">
          <cell r="AG334" t="b">
            <v>0</v>
          </cell>
          <cell r="AM334" t="b">
            <v>0</v>
          </cell>
        </row>
        <row r="335">
          <cell r="AG335" t="b">
            <v>0</v>
          </cell>
          <cell r="AM335" t="b">
            <v>0</v>
          </cell>
        </row>
        <row r="336">
          <cell r="AG336" t="b">
            <v>0</v>
          </cell>
          <cell r="AM336" t="b">
            <v>0</v>
          </cell>
        </row>
        <row r="337">
          <cell r="AG337" t="b">
            <v>0</v>
          </cell>
          <cell r="AM337" t="b">
            <v>0</v>
          </cell>
        </row>
        <row r="338">
          <cell r="AG338" t="b">
            <v>0</v>
          </cell>
          <cell r="AM338" t="b">
            <v>0</v>
          </cell>
        </row>
        <row r="339">
          <cell r="AG339" t="b">
            <v>0</v>
          </cell>
          <cell r="AM339" t="b">
            <v>0</v>
          </cell>
        </row>
        <row r="340">
          <cell r="AG340" t="b">
            <v>0</v>
          </cell>
          <cell r="AM340" t="b">
            <v>0</v>
          </cell>
        </row>
        <row r="341">
          <cell r="AG341" t="b">
            <v>0</v>
          </cell>
          <cell r="AM341" t="b">
            <v>0</v>
          </cell>
        </row>
        <row r="342">
          <cell r="AG342" t="b">
            <v>0</v>
          </cell>
          <cell r="AM342" t="b">
            <v>0</v>
          </cell>
        </row>
        <row r="343">
          <cell r="AG343" t="b">
            <v>0</v>
          </cell>
          <cell r="AM343" t="b">
            <v>0</v>
          </cell>
        </row>
        <row r="344">
          <cell r="AG344" t="b">
            <v>0</v>
          </cell>
          <cell r="AM344" t="b">
            <v>0</v>
          </cell>
        </row>
        <row r="345">
          <cell r="AG345" t="b">
            <v>0</v>
          </cell>
          <cell r="AM345" t="b">
            <v>0</v>
          </cell>
        </row>
        <row r="346">
          <cell r="AG346" t="b">
            <v>0</v>
          </cell>
          <cell r="AM346" t="b">
            <v>0</v>
          </cell>
        </row>
        <row r="347">
          <cell r="AG347" t="b">
            <v>0</v>
          </cell>
          <cell r="AM347" t="b">
            <v>0</v>
          </cell>
        </row>
        <row r="348">
          <cell r="AG348" t="b">
            <v>0</v>
          </cell>
          <cell r="AM348" t="b">
            <v>0</v>
          </cell>
        </row>
        <row r="349">
          <cell r="AG349" t="b">
            <v>0</v>
          </cell>
          <cell r="AM349" t="b">
            <v>0</v>
          </cell>
        </row>
        <row r="350">
          <cell r="AG350" t="b">
            <v>0</v>
          </cell>
          <cell r="AM350" t="b">
            <v>0</v>
          </cell>
        </row>
        <row r="351">
          <cell r="AG351" t="b">
            <v>0</v>
          </cell>
          <cell r="AM351" t="b">
            <v>0</v>
          </cell>
        </row>
        <row r="352">
          <cell r="AG352" t="b">
            <v>0</v>
          </cell>
          <cell r="AM352" t="b">
            <v>0</v>
          </cell>
        </row>
        <row r="353">
          <cell r="AG353" t="b">
            <v>0</v>
          </cell>
          <cell r="AM353" t="b">
            <v>0</v>
          </cell>
        </row>
        <row r="354">
          <cell r="AG354" t="b">
            <v>0</v>
          </cell>
          <cell r="AM354" t="b">
            <v>0</v>
          </cell>
        </row>
        <row r="355">
          <cell r="AG355" t="b">
            <v>0</v>
          </cell>
          <cell r="AM355" t="b">
            <v>0</v>
          </cell>
        </row>
        <row r="356">
          <cell r="AG356" t="b">
            <v>0</v>
          </cell>
          <cell r="AM356" t="b">
            <v>0</v>
          </cell>
        </row>
        <row r="357">
          <cell r="AG357" t="b">
            <v>0</v>
          </cell>
          <cell r="AM357" t="b">
            <v>0</v>
          </cell>
        </row>
        <row r="358">
          <cell r="AG358" t="b">
            <v>0</v>
          </cell>
          <cell r="AM358" t="b">
            <v>0</v>
          </cell>
        </row>
        <row r="359">
          <cell r="AG359" t="b">
            <v>0</v>
          </cell>
          <cell r="AM359" t="b">
            <v>0</v>
          </cell>
        </row>
        <row r="360">
          <cell r="AG360" t="b">
            <v>0</v>
          </cell>
          <cell r="AM360" t="b">
            <v>0</v>
          </cell>
        </row>
        <row r="361">
          <cell r="AG361" t="b">
            <v>0</v>
          </cell>
          <cell r="AM361" t="b">
            <v>0</v>
          </cell>
        </row>
        <row r="362">
          <cell r="AG362" t="b">
            <v>0</v>
          </cell>
          <cell r="AM362" t="b">
            <v>0</v>
          </cell>
        </row>
        <row r="363">
          <cell r="AG363" t="b">
            <v>0</v>
          </cell>
          <cell r="AM363" t="b">
            <v>0</v>
          </cell>
        </row>
        <row r="364">
          <cell r="AG364" t="b">
            <v>0</v>
          </cell>
          <cell r="AM364" t="b">
            <v>0</v>
          </cell>
        </row>
        <row r="365">
          <cell r="AG365" t="b">
            <v>0</v>
          </cell>
          <cell r="AM365" t="b">
            <v>0</v>
          </cell>
        </row>
        <row r="366">
          <cell r="AG366" t="b">
            <v>0</v>
          </cell>
          <cell r="AM366" t="b">
            <v>0</v>
          </cell>
        </row>
        <row r="367">
          <cell r="AG367" t="b">
            <v>0</v>
          </cell>
          <cell r="AM367" t="b">
            <v>0</v>
          </cell>
        </row>
        <row r="368">
          <cell r="AG368" t="b">
            <v>0</v>
          </cell>
          <cell r="AM368" t="b">
            <v>0</v>
          </cell>
        </row>
        <row r="369">
          <cell r="AG369" t="b">
            <v>0</v>
          </cell>
          <cell r="AM369" t="b">
            <v>0</v>
          </cell>
        </row>
        <row r="370">
          <cell r="AG370" t="b">
            <v>0</v>
          </cell>
          <cell r="AM370" t="b">
            <v>0</v>
          </cell>
        </row>
        <row r="371">
          <cell r="AG371" t="b">
            <v>0</v>
          </cell>
          <cell r="AM371" t="b">
            <v>0</v>
          </cell>
        </row>
        <row r="372">
          <cell r="AG372" t="b">
            <v>0</v>
          </cell>
          <cell r="AM372" t="b">
            <v>0</v>
          </cell>
        </row>
        <row r="373">
          <cell r="AG373" t="b">
            <v>0</v>
          </cell>
          <cell r="AM373" t="b">
            <v>0</v>
          </cell>
        </row>
        <row r="374">
          <cell r="AG374" t="b">
            <v>0</v>
          </cell>
          <cell r="AM374" t="b">
            <v>0</v>
          </cell>
        </row>
        <row r="375">
          <cell r="AG375" t="b">
            <v>0</v>
          </cell>
          <cell r="AM375" t="b">
            <v>0</v>
          </cell>
        </row>
        <row r="376">
          <cell r="AG376" t="b">
            <v>0</v>
          </cell>
          <cell r="AM376" t="b">
            <v>0</v>
          </cell>
        </row>
        <row r="377">
          <cell r="AG377" t="b">
            <v>0</v>
          </cell>
          <cell r="AM377" t="b">
            <v>0</v>
          </cell>
        </row>
        <row r="378">
          <cell r="AG378" t="b">
            <v>0</v>
          </cell>
          <cell r="AM378" t="b">
            <v>0</v>
          </cell>
        </row>
        <row r="379">
          <cell r="AG379" t="b">
            <v>0</v>
          </cell>
          <cell r="AM379" t="b">
            <v>0</v>
          </cell>
        </row>
        <row r="380">
          <cell r="AG380" t="b">
            <v>0</v>
          </cell>
          <cell r="AM380" t="b">
            <v>0</v>
          </cell>
        </row>
        <row r="381">
          <cell r="AG381" t="b">
            <v>0</v>
          </cell>
          <cell r="AM381" t="b">
            <v>0</v>
          </cell>
        </row>
        <row r="382">
          <cell r="AG382" t="b">
            <v>0</v>
          </cell>
          <cell r="AM382" t="b">
            <v>0</v>
          </cell>
        </row>
        <row r="383">
          <cell r="AG383" t="b">
            <v>0</v>
          </cell>
          <cell r="AM383" t="b">
            <v>0</v>
          </cell>
        </row>
        <row r="384">
          <cell r="AG384" t="b">
            <v>0</v>
          </cell>
          <cell r="AM384" t="b">
            <v>0</v>
          </cell>
        </row>
        <row r="385">
          <cell r="AG385" t="b">
            <v>0</v>
          </cell>
          <cell r="AM385" t="b">
            <v>0</v>
          </cell>
        </row>
        <row r="386">
          <cell r="AG386" t="b">
            <v>0</v>
          </cell>
          <cell r="AM386" t="b">
            <v>0</v>
          </cell>
        </row>
        <row r="387">
          <cell r="AG387" t="b">
            <v>0</v>
          </cell>
          <cell r="AM387" t="b">
            <v>0</v>
          </cell>
        </row>
        <row r="388">
          <cell r="AG388" t="b">
            <v>0</v>
          </cell>
          <cell r="AM388" t="b">
            <v>0</v>
          </cell>
        </row>
        <row r="389">
          <cell r="AG389" t="b">
            <v>0</v>
          </cell>
          <cell r="AM389" t="b">
            <v>0</v>
          </cell>
        </row>
        <row r="390">
          <cell r="AG390" t="b">
            <v>0</v>
          </cell>
          <cell r="AM390" t="b">
            <v>0</v>
          </cell>
        </row>
        <row r="391">
          <cell r="AG391" t="b">
            <v>0</v>
          </cell>
          <cell r="AM391" t="b">
            <v>0</v>
          </cell>
        </row>
        <row r="392">
          <cell r="AG392" t="b">
            <v>0</v>
          </cell>
          <cell r="AM392" t="b">
            <v>0</v>
          </cell>
        </row>
        <row r="393">
          <cell r="AG393" t="b">
            <v>0</v>
          </cell>
          <cell r="AM393" t="b">
            <v>0</v>
          </cell>
        </row>
        <row r="394">
          <cell r="AG394" t="b">
            <v>0</v>
          </cell>
          <cell r="AM394" t="b">
            <v>0</v>
          </cell>
        </row>
        <row r="395">
          <cell r="AG395" t="b">
            <v>0</v>
          </cell>
          <cell r="AM395" t="b">
            <v>0</v>
          </cell>
        </row>
        <row r="396">
          <cell r="AG396" t="b">
            <v>0</v>
          </cell>
          <cell r="AM396" t="b">
            <v>0</v>
          </cell>
        </row>
        <row r="397">
          <cell r="AG397" t="b">
            <v>0</v>
          </cell>
          <cell r="AM397" t="b">
            <v>0</v>
          </cell>
        </row>
        <row r="398">
          <cell r="AG398" t="b">
            <v>0</v>
          </cell>
          <cell r="AM398" t="b">
            <v>0</v>
          </cell>
        </row>
        <row r="399">
          <cell r="AG399" t="b">
            <v>0</v>
          </cell>
          <cell r="AM399" t="b">
            <v>0</v>
          </cell>
        </row>
        <row r="400">
          <cell r="AG400" t="b">
            <v>0</v>
          </cell>
          <cell r="AM400" t="b">
            <v>0</v>
          </cell>
        </row>
        <row r="401">
          <cell r="AG401" t="b">
            <v>0</v>
          </cell>
          <cell r="AM401" t="b">
            <v>0</v>
          </cell>
        </row>
        <row r="402">
          <cell r="AG402" t="b">
            <v>0</v>
          </cell>
          <cell r="AM402" t="b">
            <v>0</v>
          </cell>
        </row>
        <row r="403">
          <cell r="AG403" t="b">
            <v>0</v>
          </cell>
          <cell r="AM403" t="b">
            <v>0</v>
          </cell>
        </row>
        <row r="404">
          <cell r="AG404" t="b">
            <v>0</v>
          </cell>
          <cell r="AM404" t="b">
            <v>0</v>
          </cell>
        </row>
        <row r="405">
          <cell r="AG405" t="b">
            <v>0</v>
          </cell>
          <cell r="AM405" t="b">
            <v>0</v>
          </cell>
        </row>
        <row r="406">
          <cell r="AG406" t="b">
            <v>0</v>
          </cell>
          <cell r="AM406" t="b">
            <v>0</v>
          </cell>
        </row>
        <row r="407">
          <cell r="AG407" t="b">
            <v>0</v>
          </cell>
          <cell r="AM407" t="b">
            <v>0</v>
          </cell>
        </row>
        <row r="408">
          <cell r="AG408" t="b">
            <v>0</v>
          </cell>
          <cell r="AM408" t="b">
            <v>0</v>
          </cell>
        </row>
        <row r="409">
          <cell r="AG409" t="b">
            <v>0</v>
          </cell>
          <cell r="AM409" t="b">
            <v>0</v>
          </cell>
        </row>
        <row r="410">
          <cell r="AG410" t="b">
            <v>0</v>
          </cell>
          <cell r="AM410" t="b">
            <v>0</v>
          </cell>
        </row>
        <row r="411">
          <cell r="AG411" t="b">
            <v>0</v>
          </cell>
          <cell r="AM411" t="b">
            <v>0</v>
          </cell>
        </row>
        <row r="412">
          <cell r="AG412" t="b">
            <v>0</v>
          </cell>
          <cell r="AM412" t="b">
            <v>0</v>
          </cell>
        </row>
        <row r="413">
          <cell r="AG413" t="b">
            <v>0</v>
          </cell>
          <cell r="AM413" t="b">
            <v>0</v>
          </cell>
        </row>
        <row r="414">
          <cell r="AG414" t="b">
            <v>0</v>
          </cell>
          <cell r="AM414" t="b">
            <v>0</v>
          </cell>
        </row>
        <row r="415">
          <cell r="AG415" t="b">
            <v>0</v>
          </cell>
          <cell r="AM415" t="b">
            <v>0</v>
          </cell>
        </row>
        <row r="416">
          <cell r="AG416" t="b">
            <v>0</v>
          </cell>
          <cell r="AM416" t="b">
            <v>0</v>
          </cell>
        </row>
        <row r="417">
          <cell r="AG417" t="b">
            <v>0</v>
          </cell>
          <cell r="AM417" t="b">
            <v>0</v>
          </cell>
        </row>
        <row r="418">
          <cell r="AG418" t="b">
            <v>0</v>
          </cell>
          <cell r="AM418" t="b">
            <v>0</v>
          </cell>
        </row>
        <row r="419">
          <cell r="AG419" t="b">
            <v>0</v>
          </cell>
          <cell r="AM419" t="b">
            <v>0</v>
          </cell>
        </row>
        <row r="420">
          <cell r="AG420" t="b">
            <v>0</v>
          </cell>
          <cell r="AM420" t="b">
            <v>0</v>
          </cell>
        </row>
        <row r="421">
          <cell r="AG421" t="b">
            <v>0</v>
          </cell>
          <cell r="AM421" t="b">
            <v>0</v>
          </cell>
        </row>
        <row r="422">
          <cell r="AG422" t="b">
            <v>0</v>
          </cell>
          <cell r="AM422" t="b">
            <v>0</v>
          </cell>
        </row>
        <row r="423">
          <cell r="AG423" t="b">
            <v>0</v>
          </cell>
          <cell r="AM423" t="b">
            <v>0</v>
          </cell>
        </row>
        <row r="424">
          <cell r="AG424" t="b">
            <v>0</v>
          </cell>
          <cell r="AM424" t="b">
            <v>0</v>
          </cell>
        </row>
        <row r="425">
          <cell r="AG425" t="b">
            <v>0</v>
          </cell>
          <cell r="AM425" t="b">
            <v>0</v>
          </cell>
        </row>
        <row r="426">
          <cell r="AG426" t="b">
            <v>0</v>
          </cell>
          <cell r="AM426" t="b">
            <v>0</v>
          </cell>
        </row>
        <row r="427">
          <cell r="AG427" t="b">
            <v>0</v>
          </cell>
          <cell r="AM427" t="b">
            <v>0</v>
          </cell>
        </row>
        <row r="428">
          <cell r="AG428" t="b">
            <v>0</v>
          </cell>
          <cell r="AM428" t="b">
            <v>0</v>
          </cell>
        </row>
        <row r="429">
          <cell r="AG429" t="b">
            <v>0</v>
          </cell>
          <cell r="AM429" t="b">
            <v>0</v>
          </cell>
        </row>
        <row r="430">
          <cell r="AG430" t="b">
            <v>0</v>
          </cell>
          <cell r="AM430" t="b">
            <v>0</v>
          </cell>
        </row>
        <row r="431">
          <cell r="AG431" t="b">
            <v>0</v>
          </cell>
          <cell r="AM431" t="b">
            <v>0</v>
          </cell>
        </row>
        <row r="432">
          <cell r="AG432" t="b">
            <v>0</v>
          </cell>
          <cell r="AM432" t="b">
            <v>0</v>
          </cell>
        </row>
        <row r="433">
          <cell r="AG433" t="b">
            <v>0</v>
          </cell>
          <cell r="AM433" t="b">
            <v>0</v>
          </cell>
        </row>
        <row r="434">
          <cell r="AG434" t="b">
            <v>0</v>
          </cell>
          <cell r="AM434" t="b">
            <v>0</v>
          </cell>
        </row>
        <row r="435">
          <cell r="AG435" t="b">
            <v>0</v>
          </cell>
          <cell r="AM435" t="b">
            <v>0</v>
          </cell>
        </row>
        <row r="436">
          <cell r="AG436" t="b">
            <v>0</v>
          </cell>
          <cell r="AM436" t="b">
            <v>0</v>
          </cell>
        </row>
        <row r="437">
          <cell r="AG437" t="b">
            <v>0</v>
          </cell>
          <cell r="AM437" t="b">
            <v>0</v>
          </cell>
        </row>
        <row r="438">
          <cell r="AG438" t="b">
            <v>0</v>
          </cell>
          <cell r="AM438" t="b">
            <v>0</v>
          </cell>
        </row>
        <row r="439">
          <cell r="AG439" t="b">
            <v>0</v>
          </cell>
          <cell r="AM439" t="b">
            <v>0</v>
          </cell>
        </row>
        <row r="440">
          <cell r="AG440" t="b">
            <v>0</v>
          </cell>
          <cell r="AM440" t="b">
            <v>0</v>
          </cell>
        </row>
        <row r="441">
          <cell r="AG441" t="b">
            <v>0</v>
          </cell>
          <cell r="AM441" t="b">
            <v>0</v>
          </cell>
        </row>
        <row r="442">
          <cell r="AG442" t="b">
            <v>0</v>
          </cell>
          <cell r="AM442" t="b">
            <v>0</v>
          </cell>
        </row>
        <row r="443">
          <cell r="AG443" t="b">
            <v>0</v>
          </cell>
          <cell r="AM443" t="b">
            <v>0</v>
          </cell>
        </row>
        <row r="444">
          <cell r="AG444" t="b">
            <v>0</v>
          </cell>
          <cell r="AM444" t="b">
            <v>0</v>
          </cell>
        </row>
        <row r="445">
          <cell r="AG445" t="b">
            <v>0</v>
          </cell>
          <cell r="AM445" t="b">
            <v>0</v>
          </cell>
        </row>
        <row r="446">
          <cell r="AG446" t="b">
            <v>0</v>
          </cell>
          <cell r="AM446" t="b">
            <v>0</v>
          </cell>
        </row>
        <row r="447">
          <cell r="AG447" t="b">
            <v>0</v>
          </cell>
          <cell r="AM447" t="b">
            <v>0</v>
          </cell>
        </row>
        <row r="448">
          <cell r="AG448" t="b">
            <v>0</v>
          </cell>
          <cell r="AM448" t="b">
            <v>0</v>
          </cell>
        </row>
        <row r="449">
          <cell r="AG449" t="b">
            <v>0</v>
          </cell>
          <cell r="AM449" t="b">
            <v>0</v>
          </cell>
        </row>
        <row r="450">
          <cell r="AG450" t="b">
            <v>0</v>
          </cell>
          <cell r="AM450" t="b">
            <v>0</v>
          </cell>
        </row>
        <row r="451">
          <cell r="AG451" t="b">
            <v>0</v>
          </cell>
          <cell r="AM451" t="b">
            <v>0</v>
          </cell>
        </row>
        <row r="452">
          <cell r="AG452" t="b">
            <v>0</v>
          </cell>
          <cell r="AM452" t="b">
            <v>0</v>
          </cell>
        </row>
        <row r="453">
          <cell r="AG453" t="b">
            <v>0</v>
          </cell>
          <cell r="AM453" t="b">
            <v>0</v>
          </cell>
        </row>
        <row r="454">
          <cell r="AG454" t="b">
            <v>0</v>
          </cell>
          <cell r="AM454" t="b">
            <v>0</v>
          </cell>
        </row>
        <row r="455">
          <cell r="AG455" t="b">
            <v>0</v>
          </cell>
          <cell r="AM455" t="b">
            <v>0</v>
          </cell>
        </row>
        <row r="456">
          <cell r="AG456" t="b">
            <v>0</v>
          </cell>
          <cell r="AM456" t="b">
            <v>0</v>
          </cell>
        </row>
        <row r="457">
          <cell r="AG457" t="b">
            <v>0</v>
          </cell>
          <cell r="AM457" t="b">
            <v>0</v>
          </cell>
        </row>
        <row r="458">
          <cell r="AG458" t="b">
            <v>0</v>
          </cell>
          <cell r="AM458" t="b">
            <v>0</v>
          </cell>
        </row>
        <row r="459">
          <cell r="AG459" t="b">
            <v>0</v>
          </cell>
          <cell r="AM459" t="b">
            <v>0</v>
          </cell>
        </row>
        <row r="460">
          <cell r="AG460" t="b">
            <v>0</v>
          </cell>
          <cell r="AM460" t="b">
            <v>0</v>
          </cell>
        </row>
        <row r="461">
          <cell r="AG461" t="b">
            <v>0</v>
          </cell>
          <cell r="AM461" t="b">
            <v>0</v>
          </cell>
        </row>
        <row r="462">
          <cell r="AG462" t="b">
            <v>0</v>
          </cell>
          <cell r="AM462" t="b">
            <v>0</v>
          </cell>
        </row>
        <row r="463">
          <cell r="AG463" t="b">
            <v>0</v>
          </cell>
          <cell r="AM463" t="b">
            <v>0</v>
          </cell>
        </row>
        <row r="464">
          <cell r="AG464" t="b">
            <v>0</v>
          </cell>
          <cell r="AM464" t="b">
            <v>0</v>
          </cell>
        </row>
        <row r="465">
          <cell r="AG465" t="b">
            <v>0</v>
          </cell>
          <cell r="AM465" t="b">
            <v>0</v>
          </cell>
        </row>
        <row r="466">
          <cell r="AG466" t="b">
            <v>0</v>
          </cell>
          <cell r="AM466" t="b">
            <v>0</v>
          </cell>
        </row>
        <row r="467">
          <cell r="AG467" t="b">
            <v>0</v>
          </cell>
          <cell r="AM467" t="b">
            <v>0</v>
          </cell>
        </row>
        <row r="468">
          <cell r="AG468" t="b">
            <v>0</v>
          </cell>
          <cell r="AM468" t="b">
            <v>0</v>
          </cell>
        </row>
        <row r="469">
          <cell r="AG469" t="b">
            <v>0</v>
          </cell>
          <cell r="AM469" t="b">
            <v>0</v>
          </cell>
        </row>
        <row r="470">
          <cell r="AG470" t="b">
            <v>0</v>
          </cell>
          <cell r="AM470" t="b">
            <v>0</v>
          </cell>
        </row>
        <row r="471">
          <cell r="AG471" t="b">
            <v>0</v>
          </cell>
          <cell r="AM471" t="b">
            <v>0</v>
          </cell>
        </row>
        <row r="472">
          <cell r="AG472" t="b">
            <v>0</v>
          </cell>
          <cell r="AM472" t="b">
            <v>0</v>
          </cell>
        </row>
        <row r="473">
          <cell r="AG473" t="b">
            <v>0</v>
          </cell>
          <cell r="AM473" t="b">
            <v>0</v>
          </cell>
        </row>
        <row r="474">
          <cell r="AG474" t="b">
            <v>0</v>
          </cell>
          <cell r="AM474" t="b">
            <v>0</v>
          </cell>
        </row>
        <row r="475">
          <cell r="AG475" t="b">
            <v>0</v>
          </cell>
          <cell r="AM475" t="b">
            <v>0</v>
          </cell>
        </row>
        <row r="476">
          <cell r="AG476" t="b">
            <v>0</v>
          </cell>
          <cell r="AM476" t="b">
            <v>0</v>
          </cell>
        </row>
        <row r="477">
          <cell r="AG477" t="b">
            <v>0</v>
          </cell>
          <cell r="AM477" t="b">
            <v>0</v>
          </cell>
        </row>
        <row r="478">
          <cell r="AG478" t="b">
            <v>0</v>
          </cell>
          <cell r="AM478" t="b">
            <v>0</v>
          </cell>
        </row>
        <row r="479">
          <cell r="AG479" t="b">
            <v>0</v>
          </cell>
          <cell r="AM479" t="b">
            <v>0</v>
          </cell>
        </row>
        <row r="480">
          <cell r="AG480" t="b">
            <v>0</v>
          </cell>
          <cell r="AM480" t="b">
            <v>0</v>
          </cell>
        </row>
        <row r="481">
          <cell r="AG481" t="b">
            <v>0</v>
          </cell>
          <cell r="AM481" t="b">
            <v>0</v>
          </cell>
        </row>
        <row r="482">
          <cell r="AG482" t="b">
            <v>0</v>
          </cell>
          <cell r="AM482" t="b">
            <v>0</v>
          </cell>
        </row>
        <row r="483">
          <cell r="AG483" t="b">
            <v>0</v>
          </cell>
          <cell r="AM483" t="b">
            <v>0</v>
          </cell>
        </row>
        <row r="484">
          <cell r="AG484" t="b">
            <v>0</v>
          </cell>
          <cell r="AM484" t="b">
            <v>0</v>
          </cell>
        </row>
        <row r="485">
          <cell r="AG485" t="b">
            <v>0</v>
          </cell>
          <cell r="AM485" t="b">
            <v>0</v>
          </cell>
        </row>
        <row r="486">
          <cell r="AG486" t="b">
            <v>0</v>
          </cell>
          <cell r="AM486" t="b">
            <v>0</v>
          </cell>
        </row>
        <row r="487">
          <cell r="AG487" t="b">
            <v>0</v>
          </cell>
          <cell r="AM487" t="b">
            <v>0</v>
          </cell>
        </row>
        <row r="488">
          <cell r="AG488" t="b">
            <v>0</v>
          </cell>
          <cell r="AM488" t="b">
            <v>0</v>
          </cell>
        </row>
        <row r="489">
          <cell r="AG489" t="b">
            <v>0</v>
          </cell>
          <cell r="AM489" t="b">
            <v>0</v>
          </cell>
        </row>
        <row r="490">
          <cell r="AG490" t="b">
            <v>0</v>
          </cell>
          <cell r="AM490" t="b">
            <v>0</v>
          </cell>
        </row>
        <row r="491">
          <cell r="AG491" t="b">
            <v>0</v>
          </cell>
          <cell r="AM491" t="b">
            <v>0</v>
          </cell>
        </row>
        <row r="492">
          <cell r="AG492" t="b">
            <v>0</v>
          </cell>
          <cell r="AM492" t="b">
            <v>0</v>
          </cell>
        </row>
        <row r="493">
          <cell r="AG493" t="b">
            <v>0</v>
          </cell>
          <cell r="AM493" t="b">
            <v>0</v>
          </cell>
        </row>
        <row r="494">
          <cell r="AG494" t="b">
            <v>0</v>
          </cell>
          <cell r="AM494" t="b">
            <v>0</v>
          </cell>
        </row>
        <row r="495">
          <cell r="AG495" t="b">
            <v>0</v>
          </cell>
          <cell r="AM495" t="b">
            <v>0</v>
          </cell>
        </row>
        <row r="496">
          <cell r="AG496" t="b">
            <v>0</v>
          </cell>
          <cell r="AM496" t="b">
            <v>0</v>
          </cell>
        </row>
        <row r="497">
          <cell r="AG497" t="b">
            <v>0</v>
          </cell>
          <cell r="AM497" t="b">
            <v>0</v>
          </cell>
        </row>
        <row r="498">
          <cell r="AG498" t="b">
            <v>0</v>
          </cell>
          <cell r="AM498" t="b">
            <v>0</v>
          </cell>
        </row>
        <row r="499">
          <cell r="AG499" t="b">
            <v>0</v>
          </cell>
          <cell r="AM499" t="b">
            <v>0</v>
          </cell>
        </row>
        <row r="500">
          <cell r="AG500" t="b">
            <v>0</v>
          </cell>
          <cell r="AM500" t="b">
            <v>0</v>
          </cell>
        </row>
        <row r="501">
          <cell r="AG501" t="b">
            <v>0</v>
          </cell>
          <cell r="AM501" t="b">
            <v>0</v>
          </cell>
        </row>
        <row r="502">
          <cell r="AG502" t="b">
            <v>0</v>
          </cell>
          <cell r="AM502" t="b">
            <v>0</v>
          </cell>
        </row>
        <row r="503">
          <cell r="AG503" t="b">
            <v>0</v>
          </cell>
          <cell r="AM503" t="b">
            <v>0</v>
          </cell>
        </row>
        <row r="504">
          <cell r="AG504" t="b">
            <v>0</v>
          </cell>
          <cell r="AM504" t="b">
            <v>0</v>
          </cell>
        </row>
        <row r="505">
          <cell r="AG505" t="b">
            <v>0</v>
          </cell>
          <cell r="AM505" t="b">
            <v>0</v>
          </cell>
        </row>
        <row r="506">
          <cell r="AG506" t="b">
            <v>0</v>
          </cell>
          <cell r="AM506" t="b">
            <v>0</v>
          </cell>
        </row>
        <row r="507">
          <cell r="AG507" t="b">
            <v>0</v>
          </cell>
          <cell r="AM507" t="b">
            <v>0</v>
          </cell>
        </row>
        <row r="508">
          <cell r="AG508" t="b">
            <v>0</v>
          </cell>
          <cell r="AM508" t="b">
            <v>0</v>
          </cell>
        </row>
        <row r="509">
          <cell r="AG509" t="b">
            <v>0</v>
          </cell>
          <cell r="AM509" t="b">
            <v>0</v>
          </cell>
        </row>
        <row r="510">
          <cell r="AG510" t="b">
            <v>0</v>
          </cell>
          <cell r="AM510" t="b">
            <v>0</v>
          </cell>
        </row>
        <row r="511">
          <cell r="AG511" t="b">
            <v>0</v>
          </cell>
          <cell r="AM511" t="b">
            <v>0</v>
          </cell>
        </row>
        <row r="512">
          <cell r="AG512" t="b">
            <v>0</v>
          </cell>
          <cell r="AM512" t="b">
            <v>0</v>
          </cell>
        </row>
        <row r="513">
          <cell r="AG513" t="b">
            <v>0</v>
          </cell>
          <cell r="AM513" t="b">
            <v>0</v>
          </cell>
        </row>
        <row r="514">
          <cell r="AG514" t="b">
            <v>0</v>
          </cell>
          <cell r="AM514" t="b">
            <v>0</v>
          </cell>
        </row>
        <row r="515">
          <cell r="AG515" t="b">
            <v>0</v>
          </cell>
          <cell r="AM515" t="b">
            <v>0</v>
          </cell>
        </row>
        <row r="516">
          <cell r="AG516" t="b">
            <v>0</v>
          </cell>
          <cell r="AM516" t="b">
            <v>0</v>
          </cell>
        </row>
        <row r="517">
          <cell r="AG517" t="b">
            <v>0</v>
          </cell>
          <cell r="AM517" t="b">
            <v>0</v>
          </cell>
        </row>
        <row r="518">
          <cell r="AG518" t="b">
            <v>0</v>
          </cell>
          <cell r="AM518" t="b">
            <v>0</v>
          </cell>
        </row>
        <row r="519">
          <cell r="AG519" t="b">
            <v>0</v>
          </cell>
          <cell r="AM519" t="b">
            <v>0</v>
          </cell>
        </row>
        <row r="520">
          <cell r="AG520" t="b">
            <v>0</v>
          </cell>
          <cell r="AM520" t="b">
            <v>0</v>
          </cell>
        </row>
        <row r="521">
          <cell r="AG521" t="b">
            <v>0</v>
          </cell>
          <cell r="AM521" t="b">
            <v>0</v>
          </cell>
        </row>
        <row r="522">
          <cell r="AG522" t="b">
            <v>0</v>
          </cell>
          <cell r="AM522" t="b">
            <v>0</v>
          </cell>
        </row>
        <row r="523">
          <cell r="AG523" t="b">
            <v>0</v>
          </cell>
          <cell r="AM523" t="b">
            <v>0</v>
          </cell>
        </row>
        <row r="524">
          <cell r="AG524" t="b">
            <v>0</v>
          </cell>
          <cell r="AM524" t="b">
            <v>0</v>
          </cell>
        </row>
        <row r="525">
          <cell r="AG525" t="b">
            <v>0</v>
          </cell>
          <cell r="AM525" t="b">
            <v>0</v>
          </cell>
        </row>
        <row r="526">
          <cell r="AG526" t="b">
            <v>0</v>
          </cell>
          <cell r="AM526" t="b">
            <v>0</v>
          </cell>
        </row>
        <row r="527">
          <cell r="AG527" t="b">
            <v>0</v>
          </cell>
          <cell r="AM527" t="b">
            <v>0</v>
          </cell>
        </row>
        <row r="528">
          <cell r="AG528" t="b">
            <v>0</v>
          </cell>
          <cell r="AM528" t="b">
            <v>0</v>
          </cell>
        </row>
        <row r="529">
          <cell r="AG529" t="b">
            <v>0</v>
          </cell>
          <cell r="AM529" t="b">
            <v>0</v>
          </cell>
        </row>
        <row r="530">
          <cell r="AG530" t="b">
            <v>0</v>
          </cell>
          <cell r="AM530" t="b">
            <v>0</v>
          </cell>
        </row>
        <row r="531">
          <cell r="AG531" t="b">
            <v>0</v>
          </cell>
          <cell r="AM531" t="b">
            <v>0</v>
          </cell>
        </row>
        <row r="532">
          <cell r="AG532" t="b">
            <v>0</v>
          </cell>
          <cell r="AM532" t="b">
            <v>0</v>
          </cell>
        </row>
        <row r="533">
          <cell r="AG533" t="b">
            <v>0</v>
          </cell>
          <cell r="AM533" t="b">
            <v>0</v>
          </cell>
        </row>
        <row r="534">
          <cell r="AG534" t="b">
            <v>0</v>
          </cell>
          <cell r="AM534" t="b">
            <v>0</v>
          </cell>
        </row>
        <row r="535">
          <cell r="AG535" t="b">
            <v>0</v>
          </cell>
          <cell r="AM535" t="b">
            <v>0</v>
          </cell>
        </row>
        <row r="536">
          <cell r="AG536" t="b">
            <v>0</v>
          </cell>
          <cell r="AM536" t="b">
            <v>0</v>
          </cell>
        </row>
        <row r="537">
          <cell r="AG537" t="b">
            <v>0</v>
          </cell>
          <cell r="AM537" t="b">
            <v>0</v>
          </cell>
        </row>
        <row r="538">
          <cell r="AG538" t="b">
            <v>0</v>
          </cell>
          <cell r="AM538" t="b">
            <v>0</v>
          </cell>
        </row>
        <row r="539">
          <cell r="AG539" t="b">
            <v>0</v>
          </cell>
          <cell r="AM539" t="b">
            <v>0</v>
          </cell>
        </row>
        <row r="540">
          <cell r="AG540" t="b">
            <v>0</v>
          </cell>
          <cell r="AM540" t="b">
            <v>0</v>
          </cell>
        </row>
        <row r="541">
          <cell r="AG541" t="b">
            <v>0</v>
          </cell>
          <cell r="AM541" t="b">
            <v>0</v>
          </cell>
        </row>
        <row r="542">
          <cell r="AG542" t="b">
            <v>0</v>
          </cell>
          <cell r="AM542" t="b">
            <v>0</v>
          </cell>
        </row>
        <row r="543">
          <cell r="AG543" t="b">
            <v>0</v>
          </cell>
          <cell r="AM543" t="b">
            <v>0</v>
          </cell>
        </row>
        <row r="544">
          <cell r="AG544" t="b">
            <v>0</v>
          </cell>
          <cell r="AM544" t="b">
            <v>0</v>
          </cell>
        </row>
        <row r="545">
          <cell r="AG545" t="b">
            <v>0</v>
          </cell>
          <cell r="AM545" t="b">
            <v>0</v>
          </cell>
        </row>
        <row r="546">
          <cell r="AG546" t="b">
            <v>0</v>
          </cell>
          <cell r="AM546" t="b">
            <v>0</v>
          </cell>
        </row>
      </sheetData>
      <sheetData sheetId="7">
        <row r="1">
          <cell r="S1" t="str">
            <v>ContactSite</v>
          </cell>
          <cell r="Z1" t="str">
            <v>Reporting Column</v>
          </cell>
          <cell r="AA1" t="str">
            <v>Household Size - Delete</v>
          </cell>
          <cell r="AL1" t="str">
            <v>Number of Contacts</v>
          </cell>
          <cell r="AN1" t="str">
            <v>Number of Contacts Before Engagement</v>
          </cell>
        </row>
        <row r="2">
          <cell r="Z2">
            <v>3</v>
          </cell>
          <cell r="AL2">
            <v>0</v>
          </cell>
          <cell r="AN2">
            <v>0</v>
          </cell>
        </row>
        <row r="3">
          <cell r="Z3">
            <v>3</v>
          </cell>
          <cell r="AL3">
            <v>0</v>
          </cell>
          <cell r="AN3">
            <v>0</v>
          </cell>
        </row>
        <row r="4">
          <cell r="Z4">
            <v>3</v>
          </cell>
          <cell r="AL4">
            <v>0</v>
          </cell>
          <cell r="AN4">
            <v>0</v>
          </cell>
        </row>
        <row r="5">
          <cell r="Z5">
            <v>3</v>
          </cell>
          <cell r="AL5">
            <v>0</v>
          </cell>
          <cell r="AN5">
            <v>0</v>
          </cell>
        </row>
        <row r="6">
          <cell r="Z6">
            <v>3</v>
          </cell>
          <cell r="AL6">
            <v>0</v>
          </cell>
          <cell r="AN6">
            <v>0</v>
          </cell>
        </row>
        <row r="7">
          <cell r="Z7">
            <v>3</v>
          </cell>
          <cell r="AL7">
            <v>0</v>
          </cell>
          <cell r="AN7">
            <v>0</v>
          </cell>
        </row>
        <row r="8">
          <cell r="Z8">
            <v>1</v>
          </cell>
          <cell r="AL8">
            <v>0</v>
          </cell>
          <cell r="AN8">
            <v>0</v>
          </cell>
        </row>
        <row r="9">
          <cell r="Z9">
            <v>3</v>
          </cell>
          <cell r="AL9">
            <v>0</v>
          </cell>
          <cell r="AN9">
            <v>0</v>
          </cell>
        </row>
        <row r="10">
          <cell r="Z10">
            <v>3</v>
          </cell>
          <cell r="AL10">
            <v>0</v>
          </cell>
          <cell r="AN10">
            <v>0</v>
          </cell>
        </row>
        <row r="11">
          <cell r="Z11">
            <v>1</v>
          </cell>
          <cell r="AL11">
            <v>0</v>
          </cell>
          <cell r="AN11">
            <v>0</v>
          </cell>
        </row>
        <row r="12">
          <cell r="Z12">
            <v>3</v>
          </cell>
          <cell r="AL12">
            <v>0</v>
          </cell>
          <cell r="AN12">
            <v>0</v>
          </cell>
        </row>
        <row r="13">
          <cell r="Z13">
            <v>3</v>
          </cell>
          <cell r="AL13">
            <v>0</v>
          </cell>
          <cell r="AN13">
            <v>0</v>
          </cell>
        </row>
        <row r="14">
          <cell r="Z14">
            <v>1</v>
          </cell>
          <cell r="AL14">
            <v>0</v>
          </cell>
          <cell r="AN14">
            <v>0</v>
          </cell>
        </row>
        <row r="15">
          <cell r="Z15">
            <v>1</v>
          </cell>
          <cell r="AL15">
            <v>0</v>
          </cell>
          <cell r="AN15">
            <v>0</v>
          </cell>
        </row>
        <row r="16">
          <cell r="Z16">
            <v>3</v>
          </cell>
          <cell r="AL16">
            <v>0</v>
          </cell>
          <cell r="AN16">
            <v>0</v>
          </cell>
        </row>
        <row r="17">
          <cell r="Z17">
            <v>3</v>
          </cell>
          <cell r="AL17">
            <v>0</v>
          </cell>
          <cell r="AN17">
            <v>0</v>
          </cell>
        </row>
        <row r="18">
          <cell r="Z18">
            <v>3</v>
          </cell>
          <cell r="AL18">
            <v>0</v>
          </cell>
          <cell r="AN18">
            <v>0</v>
          </cell>
        </row>
        <row r="19">
          <cell r="Z19">
            <v>3</v>
          </cell>
          <cell r="AL19">
            <v>0</v>
          </cell>
          <cell r="AN19">
            <v>0</v>
          </cell>
        </row>
        <row r="20">
          <cell r="Z20">
            <v>3</v>
          </cell>
          <cell r="AL20">
            <v>0</v>
          </cell>
          <cell r="AN20">
            <v>0</v>
          </cell>
        </row>
        <row r="21">
          <cell r="Z21">
            <v>3</v>
          </cell>
          <cell r="AL21">
            <v>0</v>
          </cell>
          <cell r="AN21">
            <v>0</v>
          </cell>
        </row>
        <row r="22">
          <cell r="Z22">
            <v>3</v>
          </cell>
          <cell r="AL22">
            <v>0</v>
          </cell>
          <cell r="AN22">
            <v>0</v>
          </cell>
        </row>
        <row r="23">
          <cell r="Z23">
            <v>3</v>
          </cell>
          <cell r="AL23">
            <v>0</v>
          </cell>
          <cell r="AN23">
            <v>0</v>
          </cell>
        </row>
        <row r="24">
          <cell r="Z24">
            <v>3</v>
          </cell>
          <cell r="AL24">
            <v>0</v>
          </cell>
          <cell r="AN24">
            <v>0</v>
          </cell>
        </row>
        <row r="25">
          <cell r="Z25">
            <v>3</v>
          </cell>
          <cell r="AL25">
            <v>0</v>
          </cell>
          <cell r="AN25">
            <v>0</v>
          </cell>
        </row>
        <row r="26">
          <cell r="Z26">
            <v>3</v>
          </cell>
          <cell r="AL26">
            <v>0</v>
          </cell>
          <cell r="AN26">
            <v>0</v>
          </cell>
        </row>
        <row r="27">
          <cell r="Z27">
            <v>3</v>
          </cell>
          <cell r="AL27">
            <v>0</v>
          </cell>
          <cell r="AN27">
            <v>0</v>
          </cell>
        </row>
        <row r="28">
          <cell r="Z28">
            <v>3</v>
          </cell>
          <cell r="AL28">
            <v>0</v>
          </cell>
          <cell r="AN28">
            <v>0</v>
          </cell>
        </row>
        <row r="29">
          <cell r="Z29">
            <v>3</v>
          </cell>
          <cell r="AL29">
            <v>0</v>
          </cell>
          <cell r="AN29">
            <v>0</v>
          </cell>
        </row>
        <row r="30">
          <cell r="Z30">
            <v>3</v>
          </cell>
          <cell r="AL30">
            <v>0</v>
          </cell>
          <cell r="AN30">
            <v>0</v>
          </cell>
        </row>
        <row r="31">
          <cell r="Z31">
            <v>3</v>
          </cell>
          <cell r="AL31">
            <v>0</v>
          </cell>
          <cell r="AN31">
            <v>0</v>
          </cell>
        </row>
        <row r="32">
          <cell r="Z32">
            <v>3</v>
          </cell>
          <cell r="AL32">
            <v>0</v>
          </cell>
          <cell r="AN32">
            <v>0</v>
          </cell>
        </row>
        <row r="33">
          <cell r="Z33">
            <v>3</v>
          </cell>
          <cell r="AL33">
            <v>0</v>
          </cell>
          <cell r="AN33">
            <v>0</v>
          </cell>
        </row>
        <row r="34">
          <cell r="Z34">
            <v>3</v>
          </cell>
          <cell r="AL34">
            <v>0</v>
          </cell>
          <cell r="AN34">
            <v>0</v>
          </cell>
        </row>
        <row r="35">
          <cell r="Z35">
            <v>3</v>
          </cell>
          <cell r="AL35">
            <v>0</v>
          </cell>
          <cell r="AN35">
            <v>0</v>
          </cell>
        </row>
        <row r="36">
          <cell r="Z36">
            <v>3</v>
          </cell>
          <cell r="AL36">
            <v>0</v>
          </cell>
          <cell r="AN36">
            <v>0</v>
          </cell>
        </row>
        <row r="37">
          <cell r="Z37">
            <v>1</v>
          </cell>
          <cell r="AL37">
            <v>0</v>
          </cell>
          <cell r="AN37">
            <v>0</v>
          </cell>
        </row>
        <row r="38">
          <cell r="Z38">
            <v>1</v>
          </cell>
          <cell r="AL38">
            <v>0</v>
          </cell>
          <cell r="AN38">
            <v>0</v>
          </cell>
        </row>
        <row r="39">
          <cell r="Z39">
            <v>1</v>
          </cell>
          <cell r="AL39">
            <v>0</v>
          </cell>
          <cell r="AN39">
            <v>0</v>
          </cell>
        </row>
        <row r="40">
          <cell r="Z40">
            <v>3</v>
          </cell>
          <cell r="AL40">
            <v>0</v>
          </cell>
          <cell r="AN40">
            <v>0</v>
          </cell>
        </row>
        <row r="41">
          <cell r="Z41">
            <v>3</v>
          </cell>
          <cell r="AL41">
            <v>0</v>
          </cell>
          <cell r="AN41">
            <v>0</v>
          </cell>
        </row>
        <row r="42">
          <cell r="Z42">
            <v>3</v>
          </cell>
          <cell r="AL42">
            <v>0</v>
          </cell>
          <cell r="AN42">
            <v>0</v>
          </cell>
        </row>
        <row r="43">
          <cell r="Z43">
            <v>3</v>
          </cell>
          <cell r="AL43">
            <v>0</v>
          </cell>
          <cell r="AN43">
            <v>0</v>
          </cell>
        </row>
        <row r="44">
          <cell r="Z44">
            <v>1</v>
          </cell>
          <cell r="AL44">
            <v>0</v>
          </cell>
          <cell r="AN44">
            <v>0</v>
          </cell>
        </row>
        <row r="45">
          <cell r="Z45">
            <v>1</v>
          </cell>
          <cell r="AL45">
            <v>0</v>
          </cell>
          <cell r="AN45">
            <v>0</v>
          </cell>
        </row>
        <row r="46">
          <cell r="Z46">
            <v>3</v>
          </cell>
          <cell r="AL46">
            <v>0</v>
          </cell>
          <cell r="AN46">
            <v>0</v>
          </cell>
        </row>
        <row r="47">
          <cell r="Z47">
            <v>1</v>
          </cell>
          <cell r="AL47">
            <v>0</v>
          </cell>
          <cell r="AN47">
            <v>0</v>
          </cell>
        </row>
        <row r="48">
          <cell r="Z48">
            <v>1</v>
          </cell>
          <cell r="AL48">
            <v>0</v>
          </cell>
          <cell r="AN48">
            <v>0</v>
          </cell>
        </row>
        <row r="49">
          <cell r="Z49">
            <v>3</v>
          </cell>
          <cell r="AL49">
            <v>0</v>
          </cell>
          <cell r="AN49">
            <v>0</v>
          </cell>
        </row>
        <row r="50">
          <cell r="Z50">
            <v>3</v>
          </cell>
          <cell r="AL50">
            <v>0</v>
          </cell>
          <cell r="AN50">
            <v>0</v>
          </cell>
        </row>
        <row r="51">
          <cell r="Z51">
            <v>3</v>
          </cell>
          <cell r="AL51">
            <v>0</v>
          </cell>
          <cell r="AN51">
            <v>0</v>
          </cell>
        </row>
        <row r="52">
          <cell r="Z52">
            <v>3</v>
          </cell>
          <cell r="AL52">
            <v>0</v>
          </cell>
          <cell r="AN52">
            <v>0</v>
          </cell>
        </row>
        <row r="53">
          <cell r="Z53">
            <v>3</v>
          </cell>
          <cell r="AL53">
            <v>0</v>
          </cell>
          <cell r="AN53">
            <v>0</v>
          </cell>
        </row>
        <row r="54">
          <cell r="Z54">
            <v>3</v>
          </cell>
          <cell r="AL54">
            <v>0</v>
          </cell>
          <cell r="AN54">
            <v>0</v>
          </cell>
        </row>
        <row r="55">
          <cell r="Z55">
            <v>3</v>
          </cell>
          <cell r="AL55">
            <v>0</v>
          </cell>
          <cell r="AN55">
            <v>0</v>
          </cell>
        </row>
        <row r="56">
          <cell r="Z56">
            <v>3</v>
          </cell>
          <cell r="AL56">
            <v>0</v>
          </cell>
          <cell r="AN56">
            <v>0</v>
          </cell>
        </row>
        <row r="57">
          <cell r="Z57">
            <v>3</v>
          </cell>
          <cell r="AL57">
            <v>0</v>
          </cell>
          <cell r="AN57">
            <v>0</v>
          </cell>
        </row>
        <row r="58">
          <cell r="Z58">
            <v>3</v>
          </cell>
          <cell r="AL58">
            <v>0</v>
          </cell>
          <cell r="AN58">
            <v>0</v>
          </cell>
        </row>
        <row r="59">
          <cell r="Z59">
            <v>3</v>
          </cell>
          <cell r="AL59">
            <v>0</v>
          </cell>
          <cell r="AN59">
            <v>0</v>
          </cell>
        </row>
        <row r="60">
          <cell r="Z60">
            <v>3</v>
          </cell>
          <cell r="AL60">
            <v>0</v>
          </cell>
          <cell r="AN60">
            <v>0</v>
          </cell>
        </row>
        <row r="61">
          <cell r="Z61">
            <v>3</v>
          </cell>
          <cell r="AL61">
            <v>0</v>
          </cell>
          <cell r="AN61">
            <v>0</v>
          </cell>
        </row>
        <row r="62">
          <cell r="Z62">
            <v>1</v>
          </cell>
          <cell r="AL62">
            <v>0</v>
          </cell>
          <cell r="AN62">
            <v>0</v>
          </cell>
        </row>
        <row r="63">
          <cell r="Z63">
            <v>1</v>
          </cell>
          <cell r="AL63">
            <v>0</v>
          </cell>
          <cell r="AN63">
            <v>0</v>
          </cell>
        </row>
        <row r="64">
          <cell r="Z64">
            <v>3</v>
          </cell>
          <cell r="AL64">
            <v>0</v>
          </cell>
          <cell r="AN64">
            <v>0</v>
          </cell>
        </row>
        <row r="65">
          <cell r="Z65">
            <v>3</v>
          </cell>
          <cell r="AL65">
            <v>0</v>
          </cell>
          <cell r="AN65">
            <v>0</v>
          </cell>
        </row>
        <row r="66">
          <cell r="Z66">
            <v>3</v>
          </cell>
          <cell r="AL66">
            <v>0</v>
          </cell>
          <cell r="AN66">
            <v>0</v>
          </cell>
        </row>
        <row r="67">
          <cell r="Z67">
            <v>3</v>
          </cell>
          <cell r="AL67">
            <v>0</v>
          </cell>
          <cell r="AN67">
            <v>0</v>
          </cell>
        </row>
        <row r="68">
          <cell r="Z68">
            <v>1</v>
          </cell>
          <cell r="AL68">
            <v>0</v>
          </cell>
          <cell r="AN68">
            <v>0</v>
          </cell>
        </row>
        <row r="69">
          <cell r="Z69">
            <v>1</v>
          </cell>
          <cell r="AL69">
            <v>0</v>
          </cell>
          <cell r="AN69">
            <v>0</v>
          </cell>
        </row>
        <row r="70">
          <cell r="Z70">
            <v>3</v>
          </cell>
          <cell r="AL70">
            <v>0</v>
          </cell>
          <cell r="AN70">
            <v>0</v>
          </cell>
        </row>
        <row r="71">
          <cell r="Z71">
            <v>3</v>
          </cell>
          <cell r="AL71">
            <v>0</v>
          </cell>
          <cell r="AN71">
            <v>0</v>
          </cell>
        </row>
        <row r="72">
          <cell r="Z72">
            <v>3</v>
          </cell>
          <cell r="AL72">
            <v>0</v>
          </cell>
          <cell r="AN72">
            <v>0</v>
          </cell>
        </row>
        <row r="73">
          <cell r="Z73">
            <v>3</v>
          </cell>
          <cell r="AL73">
            <v>0</v>
          </cell>
          <cell r="AN73">
            <v>0</v>
          </cell>
        </row>
        <row r="74">
          <cell r="Z74">
            <v>3</v>
          </cell>
          <cell r="AL74">
            <v>0</v>
          </cell>
          <cell r="AN74">
            <v>0</v>
          </cell>
        </row>
        <row r="75">
          <cell r="Z75">
            <v>3</v>
          </cell>
          <cell r="AL75">
            <v>0</v>
          </cell>
          <cell r="AN75">
            <v>0</v>
          </cell>
        </row>
        <row r="76">
          <cell r="Z76">
            <v>3</v>
          </cell>
          <cell r="AL76">
            <v>0</v>
          </cell>
          <cell r="AN76">
            <v>0</v>
          </cell>
        </row>
        <row r="77">
          <cell r="Z77">
            <v>3</v>
          </cell>
          <cell r="AL77">
            <v>0</v>
          </cell>
          <cell r="AN77">
            <v>0</v>
          </cell>
        </row>
        <row r="78">
          <cell r="Z78">
            <v>3</v>
          </cell>
          <cell r="AL78">
            <v>0</v>
          </cell>
          <cell r="AN78">
            <v>0</v>
          </cell>
        </row>
        <row r="79">
          <cell r="Z79">
            <v>3</v>
          </cell>
          <cell r="AL79">
            <v>0</v>
          </cell>
          <cell r="AN79">
            <v>0</v>
          </cell>
        </row>
        <row r="80">
          <cell r="Z80">
            <v>3</v>
          </cell>
          <cell r="AL80">
            <v>0</v>
          </cell>
          <cell r="AN80">
            <v>0</v>
          </cell>
        </row>
        <row r="81">
          <cell r="Z81">
            <v>3</v>
          </cell>
          <cell r="AL81">
            <v>0</v>
          </cell>
          <cell r="AN81">
            <v>0</v>
          </cell>
        </row>
        <row r="82">
          <cell r="Z82">
            <v>3</v>
          </cell>
          <cell r="AL82">
            <v>0</v>
          </cell>
          <cell r="AN82">
            <v>0</v>
          </cell>
        </row>
        <row r="83">
          <cell r="Z83">
            <v>3</v>
          </cell>
          <cell r="AL83">
            <v>0</v>
          </cell>
          <cell r="AN83">
            <v>0</v>
          </cell>
        </row>
        <row r="84">
          <cell r="Z84">
            <v>3</v>
          </cell>
          <cell r="AL84">
            <v>0</v>
          </cell>
          <cell r="AN84">
            <v>0</v>
          </cell>
        </row>
        <row r="85">
          <cell r="Z85">
            <v>3</v>
          </cell>
          <cell r="AL85">
            <v>0</v>
          </cell>
          <cell r="AN85">
            <v>0</v>
          </cell>
        </row>
        <row r="86">
          <cell r="Z86">
            <v>3</v>
          </cell>
          <cell r="AL86">
            <v>0</v>
          </cell>
          <cell r="AN86">
            <v>0</v>
          </cell>
        </row>
        <row r="87">
          <cell r="Z87">
            <v>3</v>
          </cell>
          <cell r="AL87">
            <v>0</v>
          </cell>
          <cell r="AN87">
            <v>0</v>
          </cell>
        </row>
        <row r="88">
          <cell r="Z88">
            <v>3</v>
          </cell>
          <cell r="AL88">
            <v>0</v>
          </cell>
          <cell r="AN88">
            <v>0</v>
          </cell>
        </row>
        <row r="89">
          <cell r="Z89">
            <v>3</v>
          </cell>
          <cell r="AL89">
            <v>0</v>
          </cell>
          <cell r="AN89">
            <v>0</v>
          </cell>
        </row>
        <row r="90">
          <cell r="Z90">
            <v>3</v>
          </cell>
          <cell r="AL90">
            <v>0</v>
          </cell>
          <cell r="AN90">
            <v>0</v>
          </cell>
        </row>
        <row r="91">
          <cell r="Z91">
            <v>3</v>
          </cell>
          <cell r="AL91">
            <v>0</v>
          </cell>
          <cell r="AN91">
            <v>0</v>
          </cell>
        </row>
        <row r="92">
          <cell r="Z92">
            <v>3</v>
          </cell>
          <cell r="AL92">
            <v>0</v>
          </cell>
          <cell r="AN92">
            <v>0</v>
          </cell>
        </row>
        <row r="93">
          <cell r="Z93">
            <v>3</v>
          </cell>
          <cell r="AL93">
            <v>0</v>
          </cell>
          <cell r="AN93">
            <v>0</v>
          </cell>
        </row>
        <row r="94">
          <cell r="Z94">
            <v>3</v>
          </cell>
          <cell r="AL94">
            <v>0</v>
          </cell>
          <cell r="AN94">
            <v>0</v>
          </cell>
        </row>
        <row r="95">
          <cell r="Z95">
            <v>3</v>
          </cell>
          <cell r="AL95">
            <v>0</v>
          </cell>
          <cell r="AN95">
            <v>0</v>
          </cell>
        </row>
        <row r="96">
          <cell r="Z96">
            <v>3</v>
          </cell>
          <cell r="AL96">
            <v>0</v>
          </cell>
          <cell r="AN96">
            <v>0</v>
          </cell>
        </row>
        <row r="97">
          <cell r="Z97">
            <v>3</v>
          </cell>
          <cell r="AL97">
            <v>0</v>
          </cell>
          <cell r="AN97">
            <v>0</v>
          </cell>
        </row>
        <row r="98">
          <cell r="Z98">
            <v>3</v>
          </cell>
          <cell r="AL98">
            <v>0</v>
          </cell>
          <cell r="AN98">
            <v>0</v>
          </cell>
        </row>
        <row r="99">
          <cell r="Z99">
            <v>3</v>
          </cell>
          <cell r="AL99">
            <v>0</v>
          </cell>
          <cell r="AN99">
            <v>0</v>
          </cell>
        </row>
        <row r="100">
          <cell r="Z100">
            <v>3</v>
          </cell>
          <cell r="AL100">
            <v>0</v>
          </cell>
          <cell r="AN100">
            <v>0</v>
          </cell>
        </row>
        <row r="101">
          <cell r="Z101">
            <v>3</v>
          </cell>
          <cell r="AL101">
            <v>0</v>
          </cell>
          <cell r="AN101">
            <v>0</v>
          </cell>
        </row>
        <row r="102">
          <cell r="Z102">
            <v>3</v>
          </cell>
          <cell r="AL102">
            <v>0</v>
          </cell>
          <cell r="AN102">
            <v>0</v>
          </cell>
        </row>
        <row r="103">
          <cell r="Z103">
            <v>3</v>
          </cell>
          <cell r="AL103">
            <v>0</v>
          </cell>
          <cell r="AN103">
            <v>0</v>
          </cell>
        </row>
        <row r="104">
          <cell r="Z104">
            <v>3</v>
          </cell>
          <cell r="AL104">
            <v>0</v>
          </cell>
          <cell r="AN104">
            <v>0</v>
          </cell>
        </row>
        <row r="105">
          <cell r="Z105">
            <v>3</v>
          </cell>
          <cell r="AL105">
            <v>0</v>
          </cell>
          <cell r="AN105">
            <v>0</v>
          </cell>
        </row>
        <row r="106">
          <cell r="Z106">
            <v>3</v>
          </cell>
          <cell r="AL106">
            <v>0</v>
          </cell>
          <cell r="AN106">
            <v>0</v>
          </cell>
        </row>
        <row r="107">
          <cell r="Z107">
            <v>3</v>
          </cell>
          <cell r="AL107">
            <v>0</v>
          </cell>
          <cell r="AN107">
            <v>0</v>
          </cell>
        </row>
        <row r="108">
          <cell r="Z108">
            <v>3</v>
          </cell>
          <cell r="AL108">
            <v>0</v>
          </cell>
          <cell r="AN108">
            <v>0</v>
          </cell>
        </row>
        <row r="109">
          <cell r="Z109">
            <v>3</v>
          </cell>
          <cell r="AL109">
            <v>0</v>
          </cell>
          <cell r="AN109">
            <v>0</v>
          </cell>
        </row>
        <row r="110">
          <cell r="Z110">
            <v>3</v>
          </cell>
          <cell r="AL110">
            <v>0</v>
          </cell>
          <cell r="AN110">
            <v>0</v>
          </cell>
        </row>
        <row r="111">
          <cell r="Z111">
            <v>3</v>
          </cell>
          <cell r="AL111">
            <v>0</v>
          </cell>
          <cell r="AN111">
            <v>0</v>
          </cell>
        </row>
        <row r="112">
          <cell r="Z112">
            <v>3</v>
          </cell>
          <cell r="AL112">
            <v>0</v>
          </cell>
          <cell r="AN112">
            <v>0</v>
          </cell>
        </row>
        <row r="113">
          <cell r="Z113">
            <v>3</v>
          </cell>
          <cell r="AL113">
            <v>0</v>
          </cell>
          <cell r="AN113">
            <v>0</v>
          </cell>
        </row>
        <row r="114">
          <cell r="Z114">
            <v>3</v>
          </cell>
          <cell r="AL114">
            <v>0</v>
          </cell>
          <cell r="AN114">
            <v>0</v>
          </cell>
        </row>
        <row r="115">
          <cell r="Z115">
            <v>3</v>
          </cell>
          <cell r="AL115">
            <v>0</v>
          </cell>
          <cell r="AN115">
            <v>0</v>
          </cell>
        </row>
        <row r="116">
          <cell r="Z116">
            <v>3</v>
          </cell>
          <cell r="AL116">
            <v>0</v>
          </cell>
          <cell r="AN116">
            <v>0</v>
          </cell>
        </row>
        <row r="117">
          <cell r="Z117">
            <v>3</v>
          </cell>
          <cell r="AL117">
            <v>0</v>
          </cell>
          <cell r="AN117">
            <v>0</v>
          </cell>
        </row>
        <row r="118">
          <cell r="Z118">
            <v>3</v>
          </cell>
          <cell r="AL118">
            <v>0</v>
          </cell>
          <cell r="AN118">
            <v>0</v>
          </cell>
        </row>
        <row r="119">
          <cell r="Z119">
            <v>3</v>
          </cell>
          <cell r="AL119">
            <v>0</v>
          </cell>
          <cell r="AN119">
            <v>0</v>
          </cell>
        </row>
        <row r="120">
          <cell r="Z120">
            <v>3</v>
          </cell>
          <cell r="AL120">
            <v>0</v>
          </cell>
          <cell r="AN120">
            <v>0</v>
          </cell>
        </row>
        <row r="121">
          <cell r="Z121">
            <v>3</v>
          </cell>
          <cell r="AL121">
            <v>0</v>
          </cell>
          <cell r="AN121">
            <v>0</v>
          </cell>
        </row>
        <row r="122">
          <cell r="Z122">
            <v>3</v>
          </cell>
          <cell r="AL122">
            <v>0</v>
          </cell>
          <cell r="AN122">
            <v>0</v>
          </cell>
        </row>
        <row r="123">
          <cell r="Z123">
            <v>1</v>
          </cell>
          <cell r="AL123">
            <v>0</v>
          </cell>
          <cell r="AN123">
            <v>0</v>
          </cell>
        </row>
        <row r="124">
          <cell r="Z124">
            <v>1</v>
          </cell>
          <cell r="AL124">
            <v>0</v>
          </cell>
          <cell r="AN124">
            <v>0</v>
          </cell>
        </row>
        <row r="125">
          <cell r="Z125">
            <v>3</v>
          </cell>
          <cell r="AL125">
            <v>0</v>
          </cell>
          <cell r="AN125">
            <v>0</v>
          </cell>
        </row>
        <row r="126">
          <cell r="Z126">
            <v>3</v>
          </cell>
          <cell r="AL126">
            <v>0</v>
          </cell>
          <cell r="AN126">
            <v>0</v>
          </cell>
        </row>
        <row r="127">
          <cell r="Z127">
            <v>1</v>
          </cell>
          <cell r="AL127">
            <v>0</v>
          </cell>
          <cell r="AN127">
            <v>0</v>
          </cell>
        </row>
        <row r="128">
          <cell r="Z128">
            <v>3</v>
          </cell>
          <cell r="AL128">
            <v>0</v>
          </cell>
          <cell r="AN128">
            <v>0</v>
          </cell>
        </row>
        <row r="129">
          <cell r="Z129">
            <v>3</v>
          </cell>
          <cell r="AL129">
            <v>0</v>
          </cell>
          <cell r="AN129">
            <v>0</v>
          </cell>
        </row>
        <row r="130">
          <cell r="Z130">
            <v>3</v>
          </cell>
          <cell r="AL130">
            <v>0</v>
          </cell>
          <cell r="AN130">
            <v>0</v>
          </cell>
        </row>
        <row r="131">
          <cell r="Z131">
            <v>3</v>
          </cell>
          <cell r="AL131">
            <v>0</v>
          </cell>
          <cell r="AN131">
            <v>0</v>
          </cell>
        </row>
        <row r="132">
          <cell r="Z132">
            <v>3</v>
          </cell>
          <cell r="AL132">
            <v>0</v>
          </cell>
          <cell r="AN132">
            <v>0</v>
          </cell>
        </row>
        <row r="133">
          <cell r="Z133">
            <v>3</v>
          </cell>
          <cell r="AL133">
            <v>0</v>
          </cell>
          <cell r="AN133">
            <v>0</v>
          </cell>
        </row>
        <row r="134">
          <cell r="Z134">
            <v>3</v>
          </cell>
          <cell r="AL134">
            <v>0</v>
          </cell>
          <cell r="AN134">
            <v>0</v>
          </cell>
        </row>
        <row r="135">
          <cell r="Z135">
            <v>3</v>
          </cell>
          <cell r="AL135">
            <v>0</v>
          </cell>
          <cell r="AN135">
            <v>0</v>
          </cell>
        </row>
        <row r="136">
          <cell r="Z136">
            <v>3</v>
          </cell>
          <cell r="AL136">
            <v>0</v>
          </cell>
          <cell r="AN136">
            <v>0</v>
          </cell>
        </row>
        <row r="137">
          <cell r="Z137">
            <v>3</v>
          </cell>
          <cell r="AL137">
            <v>0</v>
          </cell>
          <cell r="AN137">
            <v>0</v>
          </cell>
        </row>
        <row r="138">
          <cell r="Z138">
            <v>3</v>
          </cell>
          <cell r="AL138">
            <v>0</v>
          </cell>
          <cell r="AN138">
            <v>0</v>
          </cell>
        </row>
        <row r="139">
          <cell r="Z139">
            <v>3</v>
          </cell>
          <cell r="AL139">
            <v>0</v>
          </cell>
          <cell r="AN139">
            <v>0</v>
          </cell>
        </row>
        <row r="140">
          <cell r="Z140">
            <v>3</v>
          </cell>
          <cell r="AL140">
            <v>0</v>
          </cell>
          <cell r="AN140">
            <v>0</v>
          </cell>
        </row>
        <row r="141">
          <cell r="Z141">
            <v>3</v>
          </cell>
          <cell r="AL141">
            <v>0</v>
          </cell>
          <cell r="AN141">
            <v>0</v>
          </cell>
        </row>
        <row r="142">
          <cell r="Z142">
            <v>3</v>
          </cell>
          <cell r="AL142">
            <v>0</v>
          </cell>
          <cell r="AN142">
            <v>0</v>
          </cell>
        </row>
        <row r="143">
          <cell r="Z143">
            <v>3</v>
          </cell>
          <cell r="AL143">
            <v>0</v>
          </cell>
          <cell r="AN143">
            <v>0</v>
          </cell>
        </row>
        <row r="144">
          <cell r="Z144">
            <v>3</v>
          </cell>
          <cell r="AL144">
            <v>0</v>
          </cell>
          <cell r="AN144">
            <v>0</v>
          </cell>
        </row>
        <row r="145">
          <cell r="Z145">
            <v>3</v>
          </cell>
          <cell r="AL145">
            <v>0</v>
          </cell>
          <cell r="AN145">
            <v>0</v>
          </cell>
        </row>
        <row r="146">
          <cell r="Z146">
            <v>3</v>
          </cell>
          <cell r="AL146">
            <v>0</v>
          </cell>
          <cell r="AN146">
            <v>0</v>
          </cell>
        </row>
        <row r="147">
          <cell r="Z147">
            <v>3</v>
          </cell>
          <cell r="AL147">
            <v>0</v>
          </cell>
          <cell r="AN147">
            <v>0</v>
          </cell>
        </row>
        <row r="148">
          <cell r="Z148">
            <v>3</v>
          </cell>
          <cell r="AL148">
            <v>0</v>
          </cell>
          <cell r="AN148">
            <v>0</v>
          </cell>
        </row>
        <row r="149">
          <cell r="Z149">
            <v>3</v>
          </cell>
          <cell r="AL149">
            <v>0</v>
          </cell>
          <cell r="AN149">
            <v>0</v>
          </cell>
        </row>
        <row r="150">
          <cell r="Z150">
            <v>3</v>
          </cell>
          <cell r="AL150">
            <v>0</v>
          </cell>
          <cell r="AN150">
            <v>0</v>
          </cell>
        </row>
        <row r="151">
          <cell r="Z151">
            <v>3</v>
          </cell>
          <cell r="AL151">
            <v>0</v>
          </cell>
          <cell r="AN151">
            <v>0</v>
          </cell>
        </row>
        <row r="152">
          <cell r="Z152">
            <v>3</v>
          </cell>
          <cell r="AL152">
            <v>0</v>
          </cell>
          <cell r="AN152">
            <v>0</v>
          </cell>
        </row>
        <row r="153">
          <cell r="Z153">
            <v>1</v>
          </cell>
          <cell r="AL153">
            <v>0</v>
          </cell>
          <cell r="AN153">
            <v>0</v>
          </cell>
        </row>
        <row r="154">
          <cell r="Z154">
            <v>1</v>
          </cell>
          <cell r="AL154">
            <v>0</v>
          </cell>
          <cell r="AN154">
            <v>0</v>
          </cell>
        </row>
        <row r="155">
          <cell r="Z155">
            <v>3</v>
          </cell>
          <cell r="AL155">
            <v>0</v>
          </cell>
          <cell r="AN155">
            <v>0</v>
          </cell>
        </row>
        <row r="156">
          <cell r="Z156">
            <v>3</v>
          </cell>
          <cell r="AL156">
            <v>0</v>
          </cell>
          <cell r="AN156">
            <v>0</v>
          </cell>
        </row>
        <row r="157">
          <cell r="Z157">
            <v>3</v>
          </cell>
          <cell r="AL157">
            <v>0</v>
          </cell>
          <cell r="AN157">
            <v>0</v>
          </cell>
        </row>
        <row r="158">
          <cell r="Z158">
            <v>1</v>
          </cell>
          <cell r="AL158">
            <v>0</v>
          </cell>
          <cell r="AN158">
            <v>0</v>
          </cell>
        </row>
        <row r="159">
          <cell r="Z159">
            <v>3</v>
          </cell>
          <cell r="AL159">
            <v>0</v>
          </cell>
          <cell r="AN159">
            <v>0</v>
          </cell>
        </row>
        <row r="160">
          <cell r="Z160">
            <v>3</v>
          </cell>
          <cell r="AL160">
            <v>0</v>
          </cell>
          <cell r="AN160">
            <v>0</v>
          </cell>
        </row>
        <row r="161">
          <cell r="Z161">
            <v>3</v>
          </cell>
          <cell r="AL161">
            <v>0</v>
          </cell>
          <cell r="AN161">
            <v>0</v>
          </cell>
        </row>
        <row r="162">
          <cell r="Z162">
            <v>3</v>
          </cell>
          <cell r="AL162">
            <v>0</v>
          </cell>
          <cell r="AN162">
            <v>0</v>
          </cell>
        </row>
        <row r="163">
          <cell r="Z163">
            <v>3</v>
          </cell>
          <cell r="AL163">
            <v>0</v>
          </cell>
          <cell r="AN163">
            <v>0</v>
          </cell>
        </row>
        <row r="164">
          <cell r="Z164">
            <v>3</v>
          </cell>
          <cell r="AL164">
            <v>0</v>
          </cell>
          <cell r="AN164">
            <v>0</v>
          </cell>
        </row>
        <row r="165">
          <cell r="Z165">
            <v>3</v>
          </cell>
          <cell r="AL165">
            <v>0</v>
          </cell>
          <cell r="AN165">
            <v>0</v>
          </cell>
        </row>
        <row r="166">
          <cell r="Z166">
            <v>3</v>
          </cell>
          <cell r="AL166">
            <v>0</v>
          </cell>
          <cell r="AN166">
            <v>0</v>
          </cell>
        </row>
        <row r="167">
          <cell r="Z167">
            <v>1</v>
          </cell>
          <cell r="AL167">
            <v>0</v>
          </cell>
          <cell r="AN167">
            <v>0</v>
          </cell>
        </row>
        <row r="168">
          <cell r="Z168">
            <v>1</v>
          </cell>
          <cell r="AL168">
            <v>0</v>
          </cell>
          <cell r="AN168">
            <v>0</v>
          </cell>
        </row>
        <row r="169">
          <cell r="Z169">
            <v>3</v>
          </cell>
          <cell r="AL169">
            <v>0</v>
          </cell>
          <cell r="AN169">
            <v>0</v>
          </cell>
        </row>
        <row r="170">
          <cell r="Z170">
            <v>3</v>
          </cell>
          <cell r="AL170">
            <v>0</v>
          </cell>
          <cell r="AN170">
            <v>0</v>
          </cell>
        </row>
        <row r="171">
          <cell r="Z171">
            <v>3</v>
          </cell>
          <cell r="AL171">
            <v>0</v>
          </cell>
          <cell r="AN171">
            <v>0</v>
          </cell>
        </row>
        <row r="172">
          <cell r="Z172">
            <v>3</v>
          </cell>
          <cell r="AL172">
            <v>0</v>
          </cell>
          <cell r="AN172">
            <v>0</v>
          </cell>
        </row>
        <row r="173">
          <cell r="Z173">
            <v>3</v>
          </cell>
          <cell r="AL173">
            <v>0</v>
          </cell>
          <cell r="AN173">
            <v>0</v>
          </cell>
        </row>
        <row r="174">
          <cell r="Z174">
            <v>3</v>
          </cell>
          <cell r="AL174">
            <v>0</v>
          </cell>
          <cell r="AN174">
            <v>0</v>
          </cell>
        </row>
        <row r="175">
          <cell r="Z175">
            <v>3</v>
          </cell>
          <cell r="AL175">
            <v>0</v>
          </cell>
          <cell r="AN175">
            <v>0</v>
          </cell>
        </row>
        <row r="176">
          <cell r="Z176">
            <v>3</v>
          </cell>
          <cell r="AL176">
            <v>0</v>
          </cell>
          <cell r="AN176">
            <v>0</v>
          </cell>
        </row>
        <row r="177">
          <cell r="Z177">
            <v>3</v>
          </cell>
          <cell r="AL177">
            <v>0</v>
          </cell>
          <cell r="AN177">
            <v>0</v>
          </cell>
        </row>
        <row r="178">
          <cell r="Z178">
            <v>3</v>
          </cell>
          <cell r="AL178">
            <v>0</v>
          </cell>
          <cell r="AN178">
            <v>0</v>
          </cell>
        </row>
        <row r="179">
          <cell r="Z179">
            <v>3</v>
          </cell>
          <cell r="AL179">
            <v>0</v>
          </cell>
          <cell r="AN179">
            <v>0</v>
          </cell>
        </row>
        <row r="180">
          <cell r="Z180">
            <v>3</v>
          </cell>
          <cell r="AL180">
            <v>0</v>
          </cell>
          <cell r="AN180">
            <v>0</v>
          </cell>
        </row>
        <row r="181">
          <cell r="Z181">
            <v>3</v>
          </cell>
          <cell r="AL181">
            <v>0</v>
          </cell>
          <cell r="AN181">
            <v>0</v>
          </cell>
        </row>
        <row r="182">
          <cell r="Z182">
            <v>3</v>
          </cell>
          <cell r="AL182">
            <v>0</v>
          </cell>
          <cell r="AN182">
            <v>0</v>
          </cell>
        </row>
        <row r="183">
          <cell r="Z183">
            <v>3</v>
          </cell>
          <cell r="AL183">
            <v>0</v>
          </cell>
          <cell r="AN183">
            <v>0</v>
          </cell>
        </row>
        <row r="184">
          <cell r="Z184">
            <v>3</v>
          </cell>
          <cell r="AL184">
            <v>0</v>
          </cell>
          <cell r="AN184">
            <v>0</v>
          </cell>
        </row>
        <row r="185">
          <cell r="Z185">
            <v>3</v>
          </cell>
          <cell r="AL185">
            <v>0</v>
          </cell>
          <cell r="AN185">
            <v>0</v>
          </cell>
        </row>
        <row r="186">
          <cell r="Z186">
            <v>3</v>
          </cell>
          <cell r="AL186">
            <v>0</v>
          </cell>
          <cell r="AN186">
            <v>0</v>
          </cell>
        </row>
        <row r="187">
          <cell r="Z187">
            <v>3</v>
          </cell>
          <cell r="AL187">
            <v>0</v>
          </cell>
          <cell r="AN187">
            <v>0</v>
          </cell>
        </row>
        <row r="188">
          <cell r="Z188">
            <v>3</v>
          </cell>
          <cell r="AL188">
            <v>0</v>
          </cell>
          <cell r="AN188">
            <v>0</v>
          </cell>
        </row>
        <row r="189">
          <cell r="Z189">
            <v>3</v>
          </cell>
          <cell r="AL189">
            <v>0</v>
          </cell>
          <cell r="AN189">
            <v>0</v>
          </cell>
        </row>
        <row r="190">
          <cell r="Z190">
            <v>3</v>
          </cell>
          <cell r="AL190">
            <v>0</v>
          </cell>
          <cell r="AN190">
            <v>0</v>
          </cell>
        </row>
        <row r="191">
          <cell r="Z191">
            <v>3</v>
          </cell>
          <cell r="AL191">
            <v>0</v>
          </cell>
          <cell r="AN191">
            <v>0</v>
          </cell>
        </row>
        <row r="192">
          <cell r="Z192">
            <v>3</v>
          </cell>
          <cell r="AL192">
            <v>0</v>
          </cell>
          <cell r="AN192">
            <v>0</v>
          </cell>
        </row>
        <row r="193">
          <cell r="Z193">
            <v>3</v>
          </cell>
          <cell r="AL193">
            <v>0</v>
          </cell>
          <cell r="AN193">
            <v>0</v>
          </cell>
        </row>
        <row r="194">
          <cell r="Z194">
            <v>3</v>
          </cell>
          <cell r="AL194">
            <v>0</v>
          </cell>
          <cell r="AN194">
            <v>0</v>
          </cell>
        </row>
        <row r="195">
          <cell r="Z195">
            <v>3</v>
          </cell>
          <cell r="AL195">
            <v>0</v>
          </cell>
          <cell r="AN195">
            <v>0</v>
          </cell>
        </row>
        <row r="196">
          <cell r="Z196">
            <v>3</v>
          </cell>
          <cell r="AL196">
            <v>0</v>
          </cell>
          <cell r="AN196">
            <v>0</v>
          </cell>
        </row>
        <row r="197">
          <cell r="Z197">
            <v>3</v>
          </cell>
          <cell r="AL197">
            <v>0</v>
          </cell>
          <cell r="AN197">
            <v>0</v>
          </cell>
        </row>
        <row r="198">
          <cell r="Z198">
            <v>1</v>
          </cell>
          <cell r="AL198">
            <v>0</v>
          </cell>
          <cell r="AN198">
            <v>0</v>
          </cell>
        </row>
        <row r="199">
          <cell r="Z199">
            <v>3</v>
          </cell>
          <cell r="AL199">
            <v>0</v>
          </cell>
          <cell r="AN199">
            <v>0</v>
          </cell>
        </row>
        <row r="200">
          <cell r="Z200">
            <v>3</v>
          </cell>
          <cell r="AL200">
            <v>0</v>
          </cell>
          <cell r="AN200">
            <v>0</v>
          </cell>
        </row>
        <row r="201">
          <cell r="Z201">
            <v>3</v>
          </cell>
          <cell r="AL201">
            <v>0</v>
          </cell>
          <cell r="AN201">
            <v>0</v>
          </cell>
        </row>
        <row r="202">
          <cell r="Z202">
            <v>3</v>
          </cell>
          <cell r="AL202">
            <v>0</v>
          </cell>
          <cell r="AN202">
            <v>0</v>
          </cell>
        </row>
        <row r="203">
          <cell r="Z203">
            <v>3</v>
          </cell>
          <cell r="AL203">
            <v>0</v>
          </cell>
          <cell r="AN203">
            <v>0</v>
          </cell>
        </row>
        <row r="204">
          <cell r="Z204">
            <v>3</v>
          </cell>
          <cell r="AL204">
            <v>0</v>
          </cell>
          <cell r="AN204">
            <v>0</v>
          </cell>
        </row>
        <row r="205">
          <cell r="Z205">
            <v>3</v>
          </cell>
          <cell r="AL205">
            <v>0</v>
          </cell>
          <cell r="AN205">
            <v>0</v>
          </cell>
        </row>
        <row r="206">
          <cell r="Z206">
            <v>3</v>
          </cell>
          <cell r="AL206">
            <v>0</v>
          </cell>
          <cell r="AN206">
            <v>0</v>
          </cell>
        </row>
        <row r="207">
          <cell r="Z207">
            <v>3</v>
          </cell>
          <cell r="AL207">
            <v>0</v>
          </cell>
          <cell r="AN207">
            <v>0</v>
          </cell>
        </row>
        <row r="208">
          <cell r="Z208">
            <v>3</v>
          </cell>
          <cell r="AL208">
            <v>0</v>
          </cell>
          <cell r="AN208">
            <v>0</v>
          </cell>
        </row>
        <row r="209">
          <cell r="Z209">
            <v>3</v>
          </cell>
          <cell r="AL209">
            <v>0</v>
          </cell>
          <cell r="AN209">
            <v>0</v>
          </cell>
        </row>
        <row r="210">
          <cell r="Z210">
            <v>3</v>
          </cell>
          <cell r="AL210">
            <v>0</v>
          </cell>
          <cell r="AN210">
            <v>0</v>
          </cell>
        </row>
        <row r="211">
          <cell r="Z211">
            <v>3</v>
          </cell>
          <cell r="AL211">
            <v>0</v>
          </cell>
          <cell r="AN211">
            <v>0</v>
          </cell>
        </row>
        <row r="212">
          <cell r="Z212">
            <v>3</v>
          </cell>
          <cell r="AL212">
            <v>0</v>
          </cell>
          <cell r="AN212">
            <v>0</v>
          </cell>
        </row>
        <row r="213">
          <cell r="Z213">
            <v>1</v>
          </cell>
          <cell r="AL213">
            <v>0</v>
          </cell>
          <cell r="AN213">
            <v>0</v>
          </cell>
        </row>
        <row r="214">
          <cell r="Z214">
            <v>1</v>
          </cell>
          <cell r="AL214">
            <v>0</v>
          </cell>
          <cell r="AN214">
            <v>0</v>
          </cell>
        </row>
        <row r="215">
          <cell r="Z215">
            <v>3</v>
          </cell>
          <cell r="AL215">
            <v>0</v>
          </cell>
          <cell r="AN215">
            <v>0</v>
          </cell>
        </row>
        <row r="216">
          <cell r="Z216">
            <v>3</v>
          </cell>
          <cell r="AL216">
            <v>0</v>
          </cell>
          <cell r="AN216">
            <v>0</v>
          </cell>
        </row>
        <row r="217">
          <cell r="Z217">
            <v>3</v>
          </cell>
          <cell r="AL217">
            <v>0</v>
          </cell>
          <cell r="AN217">
            <v>0</v>
          </cell>
        </row>
        <row r="218">
          <cell r="Z218">
            <v>3</v>
          </cell>
          <cell r="AL218">
            <v>0</v>
          </cell>
          <cell r="AN218">
            <v>0</v>
          </cell>
        </row>
        <row r="219">
          <cell r="Z219">
            <v>3</v>
          </cell>
          <cell r="AL219">
            <v>0</v>
          </cell>
          <cell r="AN219">
            <v>0</v>
          </cell>
        </row>
        <row r="220">
          <cell r="Z220">
            <v>1</v>
          </cell>
          <cell r="AL220">
            <v>0</v>
          </cell>
          <cell r="AN220">
            <v>0</v>
          </cell>
        </row>
        <row r="221">
          <cell r="Z221">
            <v>3</v>
          </cell>
          <cell r="AL221">
            <v>0</v>
          </cell>
          <cell r="AN221">
            <v>0</v>
          </cell>
        </row>
        <row r="222">
          <cell r="Z222">
            <v>3</v>
          </cell>
          <cell r="AL222">
            <v>0</v>
          </cell>
          <cell r="AN222">
            <v>0</v>
          </cell>
        </row>
        <row r="223">
          <cell r="Z223">
            <v>3</v>
          </cell>
          <cell r="AL223">
            <v>0</v>
          </cell>
          <cell r="AN223">
            <v>0</v>
          </cell>
        </row>
        <row r="224">
          <cell r="Z224">
            <v>3</v>
          </cell>
          <cell r="AL224">
            <v>0</v>
          </cell>
          <cell r="AN224">
            <v>0</v>
          </cell>
        </row>
        <row r="225">
          <cell r="Z225">
            <v>1</v>
          </cell>
          <cell r="AL225">
            <v>0</v>
          </cell>
          <cell r="AN225">
            <v>0</v>
          </cell>
        </row>
        <row r="226">
          <cell r="Z226">
            <v>1</v>
          </cell>
          <cell r="AL226">
            <v>0</v>
          </cell>
          <cell r="AN226">
            <v>0</v>
          </cell>
        </row>
        <row r="227">
          <cell r="Z227">
            <v>3</v>
          </cell>
          <cell r="AL227">
            <v>0</v>
          </cell>
          <cell r="AN227">
            <v>0</v>
          </cell>
        </row>
        <row r="228">
          <cell r="Z228">
            <v>3</v>
          </cell>
          <cell r="AL228">
            <v>0</v>
          </cell>
          <cell r="AN228">
            <v>0</v>
          </cell>
        </row>
        <row r="229">
          <cell r="Z229">
            <v>3</v>
          </cell>
          <cell r="AL229">
            <v>0</v>
          </cell>
          <cell r="AN229">
            <v>0</v>
          </cell>
        </row>
        <row r="230">
          <cell r="Z230">
            <v>3</v>
          </cell>
          <cell r="AL230">
            <v>0</v>
          </cell>
          <cell r="AN230">
            <v>0</v>
          </cell>
        </row>
        <row r="231">
          <cell r="Z231">
            <v>3</v>
          </cell>
          <cell r="AL231">
            <v>0</v>
          </cell>
          <cell r="AN231">
            <v>0</v>
          </cell>
        </row>
        <row r="232">
          <cell r="Z232">
            <v>3</v>
          </cell>
          <cell r="AL232">
            <v>0</v>
          </cell>
          <cell r="AN232">
            <v>0</v>
          </cell>
        </row>
        <row r="233">
          <cell r="Z233">
            <v>3</v>
          </cell>
          <cell r="AL233">
            <v>0</v>
          </cell>
          <cell r="AN233">
            <v>0</v>
          </cell>
        </row>
        <row r="234">
          <cell r="Z234">
            <v>3</v>
          </cell>
          <cell r="AL234">
            <v>0</v>
          </cell>
          <cell r="AN234">
            <v>0</v>
          </cell>
        </row>
        <row r="235">
          <cell r="Z235">
            <v>3</v>
          </cell>
          <cell r="AL235">
            <v>0</v>
          </cell>
          <cell r="AN235">
            <v>0</v>
          </cell>
        </row>
        <row r="236">
          <cell r="Z236">
            <v>3</v>
          </cell>
          <cell r="AL236">
            <v>0</v>
          </cell>
          <cell r="AN236">
            <v>0</v>
          </cell>
        </row>
        <row r="237">
          <cell r="Z237">
            <v>3</v>
          </cell>
          <cell r="AL237">
            <v>0</v>
          </cell>
          <cell r="AN237">
            <v>0</v>
          </cell>
        </row>
        <row r="238">
          <cell r="Z238">
            <v>3</v>
          </cell>
          <cell r="AL238">
            <v>0</v>
          </cell>
          <cell r="AN238">
            <v>0</v>
          </cell>
        </row>
        <row r="239">
          <cell r="Z239">
            <v>3</v>
          </cell>
          <cell r="AL239">
            <v>0</v>
          </cell>
          <cell r="AN239">
            <v>0</v>
          </cell>
        </row>
        <row r="240">
          <cell r="Z240">
            <v>3</v>
          </cell>
          <cell r="AL240">
            <v>0</v>
          </cell>
          <cell r="AN240">
            <v>0</v>
          </cell>
        </row>
        <row r="241">
          <cell r="Z241">
            <v>3</v>
          </cell>
          <cell r="AL241">
            <v>0</v>
          </cell>
          <cell r="AN241">
            <v>0</v>
          </cell>
        </row>
        <row r="242">
          <cell r="Z242">
            <v>3</v>
          </cell>
          <cell r="AL242">
            <v>0</v>
          </cell>
          <cell r="AN242">
            <v>0</v>
          </cell>
        </row>
        <row r="243">
          <cell r="Z243">
            <v>3</v>
          </cell>
          <cell r="AL243">
            <v>0</v>
          </cell>
          <cell r="AN243">
            <v>0</v>
          </cell>
        </row>
        <row r="244">
          <cell r="Z244">
            <v>3</v>
          </cell>
          <cell r="AL244">
            <v>0</v>
          </cell>
          <cell r="AN244">
            <v>0</v>
          </cell>
        </row>
        <row r="245">
          <cell r="Z245">
            <v>3</v>
          </cell>
          <cell r="AL245">
            <v>0</v>
          </cell>
          <cell r="AN245">
            <v>0</v>
          </cell>
        </row>
        <row r="246">
          <cell r="Z246">
            <v>3</v>
          </cell>
          <cell r="AL246">
            <v>0</v>
          </cell>
          <cell r="AN246">
            <v>0</v>
          </cell>
        </row>
        <row r="247">
          <cell r="Z247">
            <v>1</v>
          </cell>
          <cell r="AL247">
            <v>0</v>
          </cell>
          <cell r="AN247">
            <v>0</v>
          </cell>
        </row>
        <row r="248">
          <cell r="Z248">
            <v>1</v>
          </cell>
          <cell r="AL248">
            <v>0</v>
          </cell>
          <cell r="AN248">
            <v>0</v>
          </cell>
        </row>
        <row r="249">
          <cell r="Z249">
            <v>3</v>
          </cell>
          <cell r="AL249">
            <v>0</v>
          </cell>
          <cell r="AN249">
            <v>0</v>
          </cell>
        </row>
        <row r="250">
          <cell r="Z250">
            <v>3</v>
          </cell>
          <cell r="AL250">
            <v>0</v>
          </cell>
          <cell r="AN250">
            <v>0</v>
          </cell>
        </row>
        <row r="251">
          <cell r="Z251">
            <v>3</v>
          </cell>
          <cell r="AL251">
            <v>0</v>
          </cell>
          <cell r="AN251">
            <v>0</v>
          </cell>
        </row>
        <row r="252">
          <cell r="Z252">
            <v>3</v>
          </cell>
          <cell r="AL252">
            <v>0</v>
          </cell>
          <cell r="AN252">
            <v>0</v>
          </cell>
        </row>
        <row r="253">
          <cell r="Z253">
            <v>3</v>
          </cell>
          <cell r="AL253">
            <v>0</v>
          </cell>
          <cell r="AN253">
            <v>0</v>
          </cell>
        </row>
        <row r="254">
          <cell r="Z254">
            <v>3</v>
          </cell>
          <cell r="AL254">
            <v>0</v>
          </cell>
          <cell r="AN254">
            <v>0</v>
          </cell>
        </row>
        <row r="255">
          <cell r="Z255">
            <v>1</v>
          </cell>
          <cell r="AL255">
            <v>0</v>
          </cell>
          <cell r="AN255">
            <v>0</v>
          </cell>
        </row>
        <row r="256">
          <cell r="Z256">
            <v>3</v>
          </cell>
          <cell r="AL256">
            <v>0</v>
          </cell>
          <cell r="AN256">
            <v>0</v>
          </cell>
        </row>
        <row r="257">
          <cell r="Z257">
            <v>3</v>
          </cell>
          <cell r="AL257">
            <v>0</v>
          </cell>
          <cell r="AN257">
            <v>0</v>
          </cell>
        </row>
        <row r="258">
          <cell r="Z258">
            <v>3</v>
          </cell>
          <cell r="AL258">
            <v>0</v>
          </cell>
          <cell r="AN258">
            <v>0</v>
          </cell>
        </row>
        <row r="259">
          <cell r="Z259">
            <v>3</v>
          </cell>
          <cell r="AL259">
            <v>0</v>
          </cell>
          <cell r="AN259">
            <v>0</v>
          </cell>
        </row>
        <row r="260">
          <cell r="Z260">
            <v>1</v>
          </cell>
          <cell r="AL260">
            <v>0</v>
          </cell>
          <cell r="AN260">
            <v>0</v>
          </cell>
        </row>
        <row r="261">
          <cell r="Z261">
            <v>3</v>
          </cell>
          <cell r="AL261">
            <v>0</v>
          </cell>
          <cell r="AN261">
            <v>0</v>
          </cell>
        </row>
        <row r="262">
          <cell r="Z262">
            <v>3</v>
          </cell>
          <cell r="AL262">
            <v>0</v>
          </cell>
          <cell r="AN262">
            <v>0</v>
          </cell>
        </row>
        <row r="263">
          <cell r="Z263">
            <v>3</v>
          </cell>
          <cell r="AL263">
            <v>0</v>
          </cell>
          <cell r="AN263">
            <v>0</v>
          </cell>
        </row>
        <row r="264">
          <cell r="Z264">
            <v>3</v>
          </cell>
          <cell r="AL264">
            <v>0</v>
          </cell>
          <cell r="AN264">
            <v>0</v>
          </cell>
        </row>
        <row r="265">
          <cell r="Z265">
            <v>3</v>
          </cell>
          <cell r="AL265">
            <v>0</v>
          </cell>
          <cell r="AN265">
            <v>0</v>
          </cell>
        </row>
        <row r="266">
          <cell r="Z266">
            <v>3</v>
          </cell>
          <cell r="AL266">
            <v>0</v>
          </cell>
          <cell r="AN266">
            <v>0</v>
          </cell>
        </row>
        <row r="267">
          <cell r="Z267">
            <v>3</v>
          </cell>
          <cell r="AL267">
            <v>0</v>
          </cell>
          <cell r="AN267">
            <v>0</v>
          </cell>
        </row>
        <row r="268">
          <cell r="Z268">
            <v>3</v>
          </cell>
          <cell r="AL268">
            <v>0</v>
          </cell>
          <cell r="AN268">
            <v>0</v>
          </cell>
        </row>
        <row r="269">
          <cell r="Z269">
            <v>3</v>
          </cell>
          <cell r="AL269">
            <v>0</v>
          </cell>
          <cell r="AN269">
            <v>0</v>
          </cell>
        </row>
        <row r="270">
          <cell r="Z270">
            <v>3</v>
          </cell>
          <cell r="AL270">
            <v>0</v>
          </cell>
          <cell r="AN270">
            <v>0</v>
          </cell>
        </row>
        <row r="271">
          <cell r="Z271">
            <v>3</v>
          </cell>
          <cell r="AL271">
            <v>0</v>
          </cell>
          <cell r="AN271">
            <v>0</v>
          </cell>
        </row>
        <row r="272">
          <cell r="Z272">
            <v>1</v>
          </cell>
          <cell r="AL272">
            <v>0</v>
          </cell>
          <cell r="AN272">
            <v>0</v>
          </cell>
        </row>
        <row r="273">
          <cell r="Z273">
            <v>3</v>
          </cell>
          <cell r="AL273">
            <v>0</v>
          </cell>
          <cell r="AN273">
            <v>0</v>
          </cell>
        </row>
        <row r="274">
          <cell r="Z274">
            <v>3</v>
          </cell>
          <cell r="AL274">
            <v>0</v>
          </cell>
          <cell r="AN274">
            <v>0</v>
          </cell>
        </row>
        <row r="275">
          <cell r="Z275">
            <v>3</v>
          </cell>
          <cell r="AL275">
            <v>0</v>
          </cell>
          <cell r="AN275">
            <v>0</v>
          </cell>
        </row>
        <row r="276">
          <cell r="Z276">
            <v>3</v>
          </cell>
          <cell r="AL276">
            <v>0</v>
          </cell>
          <cell r="AN276">
            <v>0</v>
          </cell>
        </row>
        <row r="277">
          <cell r="Z277">
            <v>3</v>
          </cell>
          <cell r="AL277">
            <v>0</v>
          </cell>
          <cell r="AN277">
            <v>0</v>
          </cell>
        </row>
        <row r="278">
          <cell r="Z278">
            <v>1</v>
          </cell>
          <cell r="AL278">
            <v>0</v>
          </cell>
          <cell r="AN278">
            <v>0</v>
          </cell>
        </row>
        <row r="279">
          <cell r="Z279">
            <v>3</v>
          </cell>
          <cell r="AL279">
            <v>0</v>
          </cell>
          <cell r="AN279">
            <v>0</v>
          </cell>
        </row>
        <row r="280">
          <cell r="Z280">
            <v>3</v>
          </cell>
          <cell r="AL280">
            <v>0</v>
          </cell>
          <cell r="AN280">
            <v>0</v>
          </cell>
        </row>
        <row r="281">
          <cell r="Z281">
            <v>3</v>
          </cell>
          <cell r="AL281">
            <v>0</v>
          </cell>
          <cell r="AN281">
            <v>0</v>
          </cell>
        </row>
        <row r="282">
          <cell r="Z282">
            <v>3</v>
          </cell>
          <cell r="AL282">
            <v>0</v>
          </cell>
          <cell r="AN282">
            <v>0</v>
          </cell>
        </row>
        <row r="283">
          <cell r="Z283">
            <v>3</v>
          </cell>
          <cell r="AL283">
            <v>0</v>
          </cell>
          <cell r="AN283">
            <v>0</v>
          </cell>
        </row>
        <row r="284">
          <cell r="Z284">
            <v>3</v>
          </cell>
          <cell r="AL284">
            <v>0</v>
          </cell>
          <cell r="AN284">
            <v>0</v>
          </cell>
        </row>
        <row r="285">
          <cell r="Z285">
            <v>3</v>
          </cell>
          <cell r="AL285">
            <v>0</v>
          </cell>
          <cell r="AN285">
            <v>0</v>
          </cell>
        </row>
        <row r="286">
          <cell r="Z286">
            <v>3</v>
          </cell>
          <cell r="AL286">
            <v>0</v>
          </cell>
          <cell r="AN286">
            <v>0</v>
          </cell>
        </row>
        <row r="287">
          <cell r="Z287">
            <v>1</v>
          </cell>
          <cell r="AL287">
            <v>0</v>
          </cell>
          <cell r="AN287">
            <v>0</v>
          </cell>
        </row>
        <row r="288">
          <cell r="Z288">
            <v>3</v>
          </cell>
          <cell r="AL288">
            <v>0</v>
          </cell>
          <cell r="AN288">
            <v>0</v>
          </cell>
        </row>
        <row r="289">
          <cell r="Z289">
            <v>3</v>
          </cell>
          <cell r="AL289">
            <v>0</v>
          </cell>
          <cell r="AN289">
            <v>0</v>
          </cell>
        </row>
        <row r="290">
          <cell r="Z290">
            <v>3</v>
          </cell>
          <cell r="AL290">
            <v>0</v>
          </cell>
          <cell r="AN290">
            <v>0</v>
          </cell>
        </row>
        <row r="291">
          <cell r="Z291">
            <v>3</v>
          </cell>
          <cell r="AL291">
            <v>0</v>
          </cell>
          <cell r="AN291">
            <v>0</v>
          </cell>
        </row>
        <row r="292">
          <cell r="Z292">
            <v>3</v>
          </cell>
          <cell r="AL292">
            <v>0</v>
          </cell>
          <cell r="AN292">
            <v>0</v>
          </cell>
        </row>
        <row r="293">
          <cell r="Z293">
            <v>3</v>
          </cell>
          <cell r="AL293">
            <v>0</v>
          </cell>
          <cell r="AN293">
            <v>0</v>
          </cell>
        </row>
        <row r="294">
          <cell r="Z294">
            <v>3</v>
          </cell>
          <cell r="AL294">
            <v>0</v>
          </cell>
          <cell r="AN294">
            <v>0</v>
          </cell>
        </row>
        <row r="295">
          <cell r="Z295">
            <v>3</v>
          </cell>
          <cell r="AL295">
            <v>0</v>
          </cell>
          <cell r="AN295">
            <v>0</v>
          </cell>
        </row>
        <row r="296">
          <cell r="Z296">
            <v>3</v>
          </cell>
          <cell r="AL296">
            <v>0</v>
          </cell>
          <cell r="AN296">
            <v>0</v>
          </cell>
        </row>
        <row r="297">
          <cell r="Z297">
            <v>3</v>
          </cell>
          <cell r="AL297">
            <v>0</v>
          </cell>
          <cell r="AN297">
            <v>0</v>
          </cell>
        </row>
        <row r="298">
          <cell r="Z298">
            <v>3</v>
          </cell>
          <cell r="AL298">
            <v>0</v>
          </cell>
          <cell r="AN298">
            <v>0</v>
          </cell>
        </row>
        <row r="299">
          <cell r="Z299">
            <v>3</v>
          </cell>
          <cell r="AL299">
            <v>0</v>
          </cell>
          <cell r="AN299">
            <v>0</v>
          </cell>
        </row>
        <row r="300">
          <cell r="Z300">
            <v>3</v>
          </cell>
          <cell r="AL300">
            <v>0</v>
          </cell>
          <cell r="AN300">
            <v>0</v>
          </cell>
        </row>
        <row r="301">
          <cell r="Z301">
            <v>3</v>
          </cell>
          <cell r="AL301">
            <v>0</v>
          </cell>
          <cell r="AN301">
            <v>0</v>
          </cell>
        </row>
        <row r="302">
          <cell r="Z302">
            <v>3</v>
          </cell>
          <cell r="AL302">
            <v>0</v>
          </cell>
          <cell r="AN302">
            <v>0</v>
          </cell>
        </row>
        <row r="303">
          <cell r="Z303">
            <v>3</v>
          </cell>
          <cell r="AL303">
            <v>0</v>
          </cell>
          <cell r="AN303">
            <v>0</v>
          </cell>
        </row>
        <row r="304">
          <cell r="Z304">
            <v>3</v>
          </cell>
          <cell r="AL304">
            <v>0</v>
          </cell>
          <cell r="AN304">
            <v>0</v>
          </cell>
        </row>
        <row r="305">
          <cell r="Z305">
            <v>3</v>
          </cell>
          <cell r="AL305">
            <v>0</v>
          </cell>
          <cell r="AN305">
            <v>0</v>
          </cell>
        </row>
        <row r="306">
          <cell r="Z306">
            <v>1</v>
          </cell>
          <cell r="AL306">
            <v>0</v>
          </cell>
          <cell r="AN306">
            <v>0</v>
          </cell>
        </row>
        <row r="307">
          <cell r="Z307">
            <v>1</v>
          </cell>
          <cell r="AL307">
            <v>0</v>
          </cell>
          <cell r="AN307">
            <v>0</v>
          </cell>
        </row>
        <row r="308">
          <cell r="Z308">
            <v>3</v>
          </cell>
          <cell r="AL308">
            <v>0</v>
          </cell>
          <cell r="AN308">
            <v>0</v>
          </cell>
        </row>
        <row r="309">
          <cell r="Z309">
            <v>3</v>
          </cell>
          <cell r="AL309">
            <v>0</v>
          </cell>
          <cell r="AN309">
            <v>0</v>
          </cell>
        </row>
        <row r="310">
          <cell r="Z310">
            <v>3</v>
          </cell>
          <cell r="AL310">
            <v>0</v>
          </cell>
          <cell r="AN310">
            <v>0</v>
          </cell>
        </row>
        <row r="311">
          <cell r="Z311">
            <v>3</v>
          </cell>
          <cell r="AL311">
            <v>0</v>
          </cell>
          <cell r="AN311">
            <v>0</v>
          </cell>
        </row>
        <row r="312">
          <cell r="Z312">
            <v>3</v>
          </cell>
          <cell r="AL312">
            <v>0</v>
          </cell>
          <cell r="AN312">
            <v>0</v>
          </cell>
        </row>
        <row r="313">
          <cell r="Z313">
            <v>3</v>
          </cell>
          <cell r="AL313">
            <v>0</v>
          </cell>
          <cell r="AN313">
            <v>0</v>
          </cell>
        </row>
        <row r="314">
          <cell r="Z314">
            <v>3</v>
          </cell>
          <cell r="AL314">
            <v>0</v>
          </cell>
          <cell r="AN314">
            <v>0</v>
          </cell>
        </row>
        <row r="315">
          <cell r="Z315">
            <v>3</v>
          </cell>
          <cell r="AL315">
            <v>0</v>
          </cell>
          <cell r="AN315">
            <v>0</v>
          </cell>
        </row>
        <row r="316">
          <cell r="Z316">
            <v>1</v>
          </cell>
          <cell r="AL316">
            <v>0</v>
          </cell>
          <cell r="AN316">
            <v>0</v>
          </cell>
        </row>
        <row r="317">
          <cell r="Z317">
            <v>1</v>
          </cell>
          <cell r="AL317">
            <v>0</v>
          </cell>
          <cell r="AN317">
            <v>0</v>
          </cell>
        </row>
        <row r="318">
          <cell r="Z318">
            <v>3</v>
          </cell>
          <cell r="AL318">
            <v>0</v>
          </cell>
          <cell r="AN318">
            <v>0</v>
          </cell>
        </row>
        <row r="319">
          <cell r="Z319">
            <v>3</v>
          </cell>
          <cell r="AL319">
            <v>0</v>
          </cell>
          <cell r="AN319">
            <v>0</v>
          </cell>
        </row>
        <row r="320">
          <cell r="Z320">
            <v>3</v>
          </cell>
          <cell r="AL320">
            <v>0</v>
          </cell>
          <cell r="AN320">
            <v>0</v>
          </cell>
        </row>
        <row r="321">
          <cell r="Z321">
            <v>3</v>
          </cell>
          <cell r="AL321">
            <v>0</v>
          </cell>
          <cell r="AN321">
            <v>0</v>
          </cell>
        </row>
        <row r="322">
          <cell r="Z322">
            <v>3</v>
          </cell>
          <cell r="AL322">
            <v>0</v>
          </cell>
          <cell r="AN322">
            <v>0</v>
          </cell>
        </row>
        <row r="323">
          <cell r="Z323">
            <v>3</v>
          </cell>
          <cell r="AL323">
            <v>0</v>
          </cell>
          <cell r="AN323">
            <v>0</v>
          </cell>
        </row>
        <row r="324">
          <cell r="Z324">
            <v>3</v>
          </cell>
          <cell r="AL324">
            <v>0</v>
          </cell>
          <cell r="AN324">
            <v>0</v>
          </cell>
        </row>
        <row r="325">
          <cell r="Z325">
            <v>3</v>
          </cell>
          <cell r="AL325">
            <v>0</v>
          </cell>
          <cell r="AN325">
            <v>0</v>
          </cell>
        </row>
        <row r="326">
          <cell r="Z326">
            <v>3</v>
          </cell>
          <cell r="AL326">
            <v>0</v>
          </cell>
          <cell r="AN326">
            <v>0</v>
          </cell>
        </row>
        <row r="327">
          <cell r="Z327">
            <v>3</v>
          </cell>
          <cell r="AL327">
            <v>0</v>
          </cell>
          <cell r="AN327">
            <v>0</v>
          </cell>
        </row>
        <row r="328">
          <cell r="Z328">
            <v>3</v>
          </cell>
          <cell r="AL328">
            <v>0</v>
          </cell>
          <cell r="AN328">
            <v>0</v>
          </cell>
        </row>
        <row r="329">
          <cell r="Z329">
            <v>3</v>
          </cell>
          <cell r="AL329">
            <v>0</v>
          </cell>
          <cell r="AN329">
            <v>0</v>
          </cell>
        </row>
        <row r="330">
          <cell r="Z330">
            <v>3</v>
          </cell>
          <cell r="AL330">
            <v>0</v>
          </cell>
          <cell r="AN330">
            <v>0</v>
          </cell>
        </row>
        <row r="331">
          <cell r="Z331">
            <v>3</v>
          </cell>
          <cell r="AL331">
            <v>0</v>
          </cell>
          <cell r="AN331">
            <v>0</v>
          </cell>
        </row>
        <row r="332">
          <cell r="Z332">
            <v>3</v>
          </cell>
          <cell r="AL332">
            <v>0</v>
          </cell>
          <cell r="AN332">
            <v>0</v>
          </cell>
        </row>
        <row r="333">
          <cell r="Z333">
            <v>3</v>
          </cell>
          <cell r="AL333">
            <v>0</v>
          </cell>
          <cell r="AN333">
            <v>0</v>
          </cell>
        </row>
        <row r="334">
          <cell r="Z334">
            <v>3</v>
          </cell>
          <cell r="AL334">
            <v>0</v>
          </cell>
          <cell r="AN334">
            <v>0</v>
          </cell>
        </row>
        <row r="335">
          <cell r="Z335">
            <v>3</v>
          </cell>
          <cell r="AL335">
            <v>0</v>
          </cell>
          <cell r="AN335">
            <v>0</v>
          </cell>
        </row>
        <row r="336">
          <cell r="Z336">
            <v>3</v>
          </cell>
          <cell r="AL336">
            <v>0</v>
          </cell>
          <cell r="AN336">
            <v>0</v>
          </cell>
        </row>
        <row r="337">
          <cell r="Z337">
            <v>3</v>
          </cell>
          <cell r="AL337">
            <v>0</v>
          </cell>
          <cell r="AN337">
            <v>0</v>
          </cell>
        </row>
        <row r="338">
          <cell r="Z338">
            <v>3</v>
          </cell>
          <cell r="AL338">
            <v>0</v>
          </cell>
          <cell r="AN338">
            <v>0</v>
          </cell>
        </row>
        <row r="339">
          <cell r="Z339">
            <v>3</v>
          </cell>
          <cell r="AL339">
            <v>0</v>
          </cell>
          <cell r="AN339">
            <v>0</v>
          </cell>
        </row>
        <row r="340">
          <cell r="Z340">
            <v>3</v>
          </cell>
          <cell r="AL340">
            <v>0</v>
          </cell>
          <cell r="AN340">
            <v>0</v>
          </cell>
        </row>
        <row r="341">
          <cell r="Z341">
            <v>3</v>
          </cell>
          <cell r="AL341">
            <v>0</v>
          </cell>
          <cell r="AN341">
            <v>0</v>
          </cell>
        </row>
        <row r="342">
          <cell r="Z342">
            <v>3</v>
          </cell>
          <cell r="AL342">
            <v>0</v>
          </cell>
          <cell r="AN342">
            <v>0</v>
          </cell>
        </row>
        <row r="343">
          <cell r="Z343">
            <v>3</v>
          </cell>
          <cell r="AL343">
            <v>0</v>
          </cell>
          <cell r="AN343">
            <v>0</v>
          </cell>
        </row>
        <row r="344">
          <cell r="Z344">
            <v>3</v>
          </cell>
          <cell r="AL344">
            <v>0</v>
          </cell>
          <cell r="AN344">
            <v>0</v>
          </cell>
        </row>
        <row r="345">
          <cell r="Z345">
            <v>3</v>
          </cell>
          <cell r="AL345">
            <v>0</v>
          </cell>
          <cell r="AN345">
            <v>0</v>
          </cell>
        </row>
        <row r="346">
          <cell r="Z346">
            <v>3</v>
          </cell>
          <cell r="AL346">
            <v>0</v>
          </cell>
          <cell r="AN346">
            <v>0</v>
          </cell>
        </row>
        <row r="347">
          <cell r="Z347">
            <v>3</v>
          </cell>
          <cell r="AL347">
            <v>0</v>
          </cell>
          <cell r="AN347">
            <v>0</v>
          </cell>
        </row>
        <row r="348">
          <cell r="Z348">
            <v>3</v>
          </cell>
          <cell r="AL348">
            <v>0</v>
          </cell>
          <cell r="AN348">
            <v>0</v>
          </cell>
        </row>
        <row r="349">
          <cell r="Z349">
            <v>1</v>
          </cell>
          <cell r="AL349">
            <v>0</v>
          </cell>
          <cell r="AN349">
            <v>0</v>
          </cell>
        </row>
        <row r="350">
          <cell r="Z350">
            <v>1</v>
          </cell>
          <cell r="AL350">
            <v>0</v>
          </cell>
          <cell r="AN350">
            <v>0</v>
          </cell>
        </row>
        <row r="351">
          <cell r="Z351">
            <v>1</v>
          </cell>
          <cell r="AL351">
            <v>0</v>
          </cell>
          <cell r="AN351">
            <v>0</v>
          </cell>
        </row>
        <row r="352">
          <cell r="Z352">
            <v>1</v>
          </cell>
          <cell r="AL352">
            <v>0</v>
          </cell>
          <cell r="AN352">
            <v>0</v>
          </cell>
        </row>
        <row r="353">
          <cell r="Z353">
            <v>3</v>
          </cell>
          <cell r="AL353">
            <v>0</v>
          </cell>
          <cell r="AN353">
            <v>0</v>
          </cell>
        </row>
        <row r="354">
          <cell r="Z354">
            <v>3</v>
          </cell>
          <cell r="AL354">
            <v>0</v>
          </cell>
          <cell r="AN354">
            <v>0</v>
          </cell>
        </row>
        <row r="355">
          <cell r="Z355">
            <v>3</v>
          </cell>
          <cell r="AL355">
            <v>0</v>
          </cell>
          <cell r="AN355">
            <v>0</v>
          </cell>
        </row>
        <row r="356">
          <cell r="Z356">
            <v>1</v>
          </cell>
          <cell r="AL356">
            <v>0</v>
          </cell>
          <cell r="AN356">
            <v>0</v>
          </cell>
        </row>
        <row r="357">
          <cell r="Z357">
            <v>1</v>
          </cell>
          <cell r="AL357">
            <v>0</v>
          </cell>
          <cell r="AN357">
            <v>0</v>
          </cell>
        </row>
        <row r="358">
          <cell r="Z358">
            <v>3</v>
          </cell>
          <cell r="AL358">
            <v>0</v>
          </cell>
          <cell r="AN358">
            <v>0</v>
          </cell>
        </row>
        <row r="359">
          <cell r="Z359">
            <v>1</v>
          </cell>
          <cell r="AL359">
            <v>0</v>
          </cell>
          <cell r="AN359">
            <v>0</v>
          </cell>
        </row>
        <row r="360">
          <cell r="Z360">
            <v>1</v>
          </cell>
          <cell r="AL360">
            <v>0</v>
          </cell>
          <cell r="AN360">
            <v>0</v>
          </cell>
        </row>
        <row r="361">
          <cell r="Z361">
            <v>3</v>
          </cell>
          <cell r="AL361">
            <v>0</v>
          </cell>
          <cell r="AN361">
            <v>0</v>
          </cell>
        </row>
        <row r="362">
          <cell r="Z362">
            <v>3</v>
          </cell>
          <cell r="AL362">
            <v>0</v>
          </cell>
          <cell r="AN362">
            <v>0</v>
          </cell>
        </row>
        <row r="363">
          <cell r="Z363">
            <v>3</v>
          </cell>
          <cell r="AL363">
            <v>0</v>
          </cell>
          <cell r="AN363">
            <v>0</v>
          </cell>
        </row>
        <row r="364">
          <cell r="Z364">
            <v>3</v>
          </cell>
          <cell r="AL364">
            <v>0</v>
          </cell>
          <cell r="AN364">
            <v>0</v>
          </cell>
        </row>
        <row r="365">
          <cell r="Z365">
            <v>3</v>
          </cell>
          <cell r="AL365">
            <v>0</v>
          </cell>
          <cell r="AN365">
            <v>0</v>
          </cell>
        </row>
        <row r="366">
          <cell r="Z366">
            <v>1</v>
          </cell>
          <cell r="AL366">
            <v>0</v>
          </cell>
          <cell r="AN366">
            <v>0</v>
          </cell>
        </row>
        <row r="367">
          <cell r="Z367">
            <v>3</v>
          </cell>
          <cell r="AL367">
            <v>0</v>
          </cell>
          <cell r="AN367">
            <v>0</v>
          </cell>
        </row>
        <row r="368">
          <cell r="Z368">
            <v>3</v>
          </cell>
          <cell r="AL368">
            <v>0</v>
          </cell>
          <cell r="AN368">
            <v>0</v>
          </cell>
        </row>
        <row r="369">
          <cell r="Z369">
            <v>3</v>
          </cell>
          <cell r="AL369">
            <v>0</v>
          </cell>
          <cell r="AN369">
            <v>0</v>
          </cell>
        </row>
        <row r="370">
          <cell r="Z370">
            <v>3</v>
          </cell>
          <cell r="AL370">
            <v>0</v>
          </cell>
          <cell r="AN370">
            <v>0</v>
          </cell>
        </row>
        <row r="371">
          <cell r="Z371">
            <v>3</v>
          </cell>
          <cell r="AL371">
            <v>0</v>
          </cell>
          <cell r="AN371">
            <v>0</v>
          </cell>
        </row>
        <row r="372">
          <cell r="Z372">
            <v>3</v>
          </cell>
          <cell r="AL372">
            <v>0</v>
          </cell>
          <cell r="AN372">
            <v>0</v>
          </cell>
        </row>
        <row r="373">
          <cell r="Z373">
            <v>1</v>
          </cell>
          <cell r="AL373">
            <v>0</v>
          </cell>
          <cell r="AN373">
            <v>0</v>
          </cell>
        </row>
        <row r="374">
          <cell r="Z374">
            <v>3</v>
          </cell>
          <cell r="AL374">
            <v>0</v>
          </cell>
          <cell r="AN374">
            <v>0</v>
          </cell>
        </row>
        <row r="375">
          <cell r="Z375">
            <v>3</v>
          </cell>
          <cell r="AL375">
            <v>0</v>
          </cell>
          <cell r="AN375">
            <v>0</v>
          </cell>
        </row>
        <row r="376">
          <cell r="Z376">
            <v>1</v>
          </cell>
          <cell r="AL376">
            <v>0</v>
          </cell>
          <cell r="AN376">
            <v>0</v>
          </cell>
        </row>
        <row r="377">
          <cell r="Z377">
            <v>1</v>
          </cell>
          <cell r="AL377">
            <v>0</v>
          </cell>
          <cell r="AN377">
            <v>0</v>
          </cell>
        </row>
        <row r="378">
          <cell r="Z378">
            <v>3</v>
          </cell>
          <cell r="AL378">
            <v>0</v>
          </cell>
          <cell r="AN378">
            <v>0</v>
          </cell>
        </row>
        <row r="379">
          <cell r="Z379">
            <v>3</v>
          </cell>
          <cell r="AL379">
            <v>0</v>
          </cell>
          <cell r="AN379">
            <v>0</v>
          </cell>
        </row>
        <row r="380">
          <cell r="Z380">
            <v>3</v>
          </cell>
          <cell r="AL380">
            <v>0</v>
          </cell>
          <cell r="AN380">
            <v>0</v>
          </cell>
        </row>
        <row r="381">
          <cell r="Z381">
            <v>3</v>
          </cell>
          <cell r="AL381">
            <v>0</v>
          </cell>
          <cell r="AN381">
            <v>0</v>
          </cell>
        </row>
        <row r="382">
          <cell r="Z382">
            <v>3</v>
          </cell>
          <cell r="AL382">
            <v>0</v>
          </cell>
          <cell r="AN382">
            <v>0</v>
          </cell>
        </row>
        <row r="383">
          <cell r="Z383">
            <v>3</v>
          </cell>
          <cell r="AL383">
            <v>0</v>
          </cell>
          <cell r="AN383">
            <v>0</v>
          </cell>
        </row>
        <row r="384">
          <cell r="Z384">
            <v>3</v>
          </cell>
          <cell r="AL384">
            <v>0</v>
          </cell>
          <cell r="AN384">
            <v>0</v>
          </cell>
        </row>
        <row r="385">
          <cell r="Z385">
            <v>3</v>
          </cell>
          <cell r="AL385">
            <v>0</v>
          </cell>
          <cell r="AN385">
            <v>0</v>
          </cell>
        </row>
        <row r="386">
          <cell r="Z386">
            <v>3</v>
          </cell>
          <cell r="AL386">
            <v>0</v>
          </cell>
          <cell r="AN386">
            <v>0</v>
          </cell>
        </row>
        <row r="387">
          <cell r="Z387">
            <v>3</v>
          </cell>
          <cell r="AL387">
            <v>0</v>
          </cell>
          <cell r="AN387">
            <v>0</v>
          </cell>
        </row>
        <row r="388">
          <cell r="Z388">
            <v>3</v>
          </cell>
          <cell r="AL388">
            <v>0</v>
          </cell>
          <cell r="AN388">
            <v>0</v>
          </cell>
        </row>
        <row r="389">
          <cell r="Z389">
            <v>3</v>
          </cell>
          <cell r="AL389">
            <v>0</v>
          </cell>
          <cell r="AN389">
            <v>0</v>
          </cell>
        </row>
        <row r="390">
          <cell r="Z390">
            <v>3</v>
          </cell>
          <cell r="AL390">
            <v>0</v>
          </cell>
          <cell r="AN390">
            <v>0</v>
          </cell>
        </row>
        <row r="391">
          <cell r="Z391">
            <v>3</v>
          </cell>
          <cell r="AL391">
            <v>0</v>
          </cell>
          <cell r="AN391">
            <v>0</v>
          </cell>
        </row>
        <row r="392">
          <cell r="Z392">
            <v>3</v>
          </cell>
          <cell r="AL392">
            <v>0</v>
          </cell>
          <cell r="AN392">
            <v>0</v>
          </cell>
        </row>
        <row r="393">
          <cell r="Z393">
            <v>3</v>
          </cell>
          <cell r="AL393">
            <v>0</v>
          </cell>
          <cell r="AN393">
            <v>0</v>
          </cell>
        </row>
        <row r="394">
          <cell r="Z394">
            <v>3</v>
          </cell>
          <cell r="AL394">
            <v>0</v>
          </cell>
          <cell r="AN394">
            <v>0</v>
          </cell>
        </row>
        <row r="395">
          <cell r="Z395">
            <v>3</v>
          </cell>
          <cell r="AL395">
            <v>0</v>
          </cell>
          <cell r="AN395">
            <v>0</v>
          </cell>
        </row>
        <row r="396">
          <cell r="Z396">
            <v>3</v>
          </cell>
          <cell r="AL396">
            <v>0</v>
          </cell>
          <cell r="AN396">
            <v>0</v>
          </cell>
        </row>
        <row r="397">
          <cell r="Z397">
            <v>3</v>
          </cell>
          <cell r="AL397">
            <v>0</v>
          </cell>
          <cell r="AN397">
            <v>0</v>
          </cell>
        </row>
        <row r="398">
          <cell r="Z398">
            <v>3</v>
          </cell>
          <cell r="AL398">
            <v>0</v>
          </cell>
          <cell r="AN398">
            <v>0</v>
          </cell>
        </row>
        <row r="399">
          <cell r="Z399">
            <v>3</v>
          </cell>
          <cell r="AL399">
            <v>0</v>
          </cell>
          <cell r="AN399">
            <v>0</v>
          </cell>
        </row>
        <row r="400">
          <cell r="Z400">
            <v>3</v>
          </cell>
          <cell r="AL400">
            <v>0</v>
          </cell>
          <cell r="AN400">
            <v>0</v>
          </cell>
        </row>
        <row r="401">
          <cell r="Z401">
            <v>3</v>
          </cell>
          <cell r="AL401">
            <v>0</v>
          </cell>
          <cell r="AN401">
            <v>0</v>
          </cell>
        </row>
        <row r="402">
          <cell r="Z402">
            <v>3</v>
          </cell>
          <cell r="AL402">
            <v>0</v>
          </cell>
          <cell r="AN402">
            <v>0</v>
          </cell>
        </row>
        <row r="403">
          <cell r="Z403">
            <v>3</v>
          </cell>
          <cell r="AL403">
            <v>0</v>
          </cell>
          <cell r="AN403">
            <v>0</v>
          </cell>
        </row>
        <row r="404">
          <cell r="Z404">
            <v>3</v>
          </cell>
          <cell r="AL404">
            <v>0</v>
          </cell>
          <cell r="AN404">
            <v>0</v>
          </cell>
        </row>
        <row r="405">
          <cell r="Z405">
            <v>3</v>
          </cell>
          <cell r="AL405">
            <v>0</v>
          </cell>
          <cell r="AN405">
            <v>0</v>
          </cell>
        </row>
        <row r="406">
          <cell r="Z406">
            <v>3</v>
          </cell>
          <cell r="AL406">
            <v>0</v>
          </cell>
          <cell r="AN406">
            <v>0</v>
          </cell>
        </row>
        <row r="407">
          <cell r="Z407">
            <v>3</v>
          </cell>
          <cell r="AL407">
            <v>0</v>
          </cell>
          <cell r="AN407">
            <v>0</v>
          </cell>
        </row>
        <row r="408">
          <cell r="Z408">
            <v>3</v>
          </cell>
          <cell r="AL408">
            <v>0</v>
          </cell>
          <cell r="AN408">
            <v>0</v>
          </cell>
        </row>
        <row r="409">
          <cell r="Z409">
            <v>3</v>
          </cell>
          <cell r="AL409">
            <v>0</v>
          </cell>
          <cell r="AN409">
            <v>0</v>
          </cell>
        </row>
        <row r="410">
          <cell r="Z410">
            <v>3</v>
          </cell>
          <cell r="AL410">
            <v>0</v>
          </cell>
          <cell r="AN410">
            <v>0</v>
          </cell>
        </row>
        <row r="411">
          <cell r="Z411">
            <v>1</v>
          </cell>
          <cell r="AL411">
            <v>0</v>
          </cell>
          <cell r="AN411">
            <v>0</v>
          </cell>
        </row>
        <row r="412">
          <cell r="Z412">
            <v>1</v>
          </cell>
          <cell r="AL412">
            <v>0</v>
          </cell>
          <cell r="AN412">
            <v>0</v>
          </cell>
        </row>
        <row r="413">
          <cell r="Z413">
            <v>3</v>
          </cell>
          <cell r="AL413">
            <v>0</v>
          </cell>
          <cell r="AN413">
            <v>0</v>
          </cell>
        </row>
        <row r="414">
          <cell r="Z414">
            <v>3</v>
          </cell>
          <cell r="AL414">
            <v>0</v>
          </cell>
          <cell r="AN414">
            <v>0</v>
          </cell>
        </row>
        <row r="415">
          <cell r="Z415">
            <v>3</v>
          </cell>
          <cell r="AL415">
            <v>0</v>
          </cell>
          <cell r="AN415">
            <v>0</v>
          </cell>
        </row>
        <row r="416">
          <cell r="Z416">
            <v>3</v>
          </cell>
          <cell r="AL416">
            <v>0</v>
          </cell>
          <cell r="AN416">
            <v>0</v>
          </cell>
        </row>
        <row r="417">
          <cell r="Z417">
            <v>3</v>
          </cell>
          <cell r="AL417">
            <v>0</v>
          </cell>
          <cell r="AN417">
            <v>0</v>
          </cell>
        </row>
        <row r="418">
          <cell r="Z418">
            <v>3</v>
          </cell>
          <cell r="AL418">
            <v>0</v>
          </cell>
          <cell r="AN418">
            <v>0</v>
          </cell>
        </row>
        <row r="419">
          <cell r="Z419">
            <v>3</v>
          </cell>
          <cell r="AL419">
            <v>0</v>
          </cell>
          <cell r="AN419">
            <v>0</v>
          </cell>
        </row>
        <row r="420">
          <cell r="Z420">
            <v>3</v>
          </cell>
          <cell r="AL420">
            <v>0</v>
          </cell>
          <cell r="AN420">
            <v>0</v>
          </cell>
        </row>
        <row r="421">
          <cell r="Z421">
            <v>3</v>
          </cell>
          <cell r="AL421">
            <v>0</v>
          </cell>
          <cell r="AN421">
            <v>0</v>
          </cell>
        </row>
        <row r="422">
          <cell r="Z422">
            <v>3</v>
          </cell>
          <cell r="AL422">
            <v>0</v>
          </cell>
          <cell r="AN422">
            <v>0</v>
          </cell>
        </row>
        <row r="423">
          <cell r="Z423">
            <v>3</v>
          </cell>
          <cell r="AL423">
            <v>0</v>
          </cell>
          <cell r="AN423">
            <v>0</v>
          </cell>
        </row>
        <row r="424">
          <cell r="Z424">
            <v>3</v>
          </cell>
          <cell r="AL424">
            <v>0</v>
          </cell>
          <cell r="AN424">
            <v>0</v>
          </cell>
        </row>
        <row r="425">
          <cell r="Z425">
            <v>1</v>
          </cell>
          <cell r="AL425">
            <v>0</v>
          </cell>
          <cell r="AN425">
            <v>0</v>
          </cell>
        </row>
        <row r="426">
          <cell r="Z426">
            <v>3</v>
          </cell>
          <cell r="AL426">
            <v>0</v>
          </cell>
          <cell r="AN426">
            <v>0</v>
          </cell>
        </row>
        <row r="427">
          <cell r="Z427">
            <v>3</v>
          </cell>
          <cell r="AL427">
            <v>0</v>
          </cell>
          <cell r="AN427">
            <v>0</v>
          </cell>
        </row>
        <row r="428">
          <cell r="Z428">
            <v>3</v>
          </cell>
          <cell r="AL428">
            <v>0</v>
          </cell>
          <cell r="AN428">
            <v>0</v>
          </cell>
        </row>
        <row r="429">
          <cell r="Z429">
            <v>3</v>
          </cell>
          <cell r="AL429">
            <v>0</v>
          </cell>
          <cell r="AN429">
            <v>0</v>
          </cell>
        </row>
        <row r="430">
          <cell r="Z430">
            <v>1</v>
          </cell>
          <cell r="AL430">
            <v>0</v>
          </cell>
          <cell r="AN430">
            <v>0</v>
          </cell>
        </row>
        <row r="431">
          <cell r="Z431">
            <v>1</v>
          </cell>
          <cell r="AL431">
            <v>0</v>
          </cell>
          <cell r="AN431">
            <v>0</v>
          </cell>
        </row>
        <row r="432">
          <cell r="Z432">
            <v>3</v>
          </cell>
          <cell r="AL432">
            <v>0</v>
          </cell>
          <cell r="AN432">
            <v>0</v>
          </cell>
        </row>
        <row r="433">
          <cell r="Z433">
            <v>3</v>
          </cell>
          <cell r="AL433">
            <v>0</v>
          </cell>
          <cell r="AN433">
            <v>0</v>
          </cell>
        </row>
        <row r="434">
          <cell r="Z434">
            <v>1</v>
          </cell>
          <cell r="AL434">
            <v>0</v>
          </cell>
          <cell r="AN434">
            <v>0</v>
          </cell>
        </row>
        <row r="435">
          <cell r="Z435">
            <v>1</v>
          </cell>
          <cell r="AL435">
            <v>0</v>
          </cell>
          <cell r="AN435">
            <v>0</v>
          </cell>
        </row>
        <row r="436">
          <cell r="Z436">
            <v>3</v>
          </cell>
          <cell r="AL436">
            <v>0</v>
          </cell>
          <cell r="AN436">
            <v>0</v>
          </cell>
        </row>
        <row r="437">
          <cell r="Z437">
            <v>3</v>
          </cell>
          <cell r="AL437">
            <v>0</v>
          </cell>
          <cell r="AN437">
            <v>0</v>
          </cell>
        </row>
        <row r="438">
          <cell r="Z438">
            <v>3</v>
          </cell>
          <cell r="AL438">
            <v>0</v>
          </cell>
          <cell r="AN438">
            <v>0</v>
          </cell>
        </row>
        <row r="439">
          <cell r="Z439">
            <v>3</v>
          </cell>
          <cell r="AL439">
            <v>0</v>
          </cell>
          <cell r="AN439">
            <v>0</v>
          </cell>
        </row>
        <row r="440">
          <cell r="Z440">
            <v>3</v>
          </cell>
          <cell r="AL440">
            <v>0</v>
          </cell>
          <cell r="AN440">
            <v>0</v>
          </cell>
        </row>
        <row r="441">
          <cell r="Z441">
            <v>3</v>
          </cell>
          <cell r="AL441">
            <v>0</v>
          </cell>
          <cell r="AN441">
            <v>0</v>
          </cell>
        </row>
        <row r="442">
          <cell r="Z442">
            <v>3</v>
          </cell>
          <cell r="AL442">
            <v>0</v>
          </cell>
          <cell r="AN442">
            <v>0</v>
          </cell>
        </row>
        <row r="443">
          <cell r="Z443">
            <v>3</v>
          </cell>
          <cell r="AL443">
            <v>0</v>
          </cell>
          <cell r="AN443">
            <v>0</v>
          </cell>
        </row>
        <row r="444">
          <cell r="Z444">
            <v>3</v>
          </cell>
          <cell r="AL444">
            <v>0</v>
          </cell>
          <cell r="AN444">
            <v>0</v>
          </cell>
        </row>
        <row r="445">
          <cell r="Z445">
            <v>3</v>
          </cell>
          <cell r="AL445">
            <v>0</v>
          </cell>
          <cell r="AN445">
            <v>0</v>
          </cell>
        </row>
        <row r="446">
          <cell r="Z446">
            <v>3</v>
          </cell>
          <cell r="AL446">
            <v>0</v>
          </cell>
          <cell r="AN446">
            <v>0</v>
          </cell>
        </row>
        <row r="447">
          <cell r="Z447">
            <v>3</v>
          </cell>
          <cell r="AL447">
            <v>0</v>
          </cell>
          <cell r="AN447">
            <v>0</v>
          </cell>
        </row>
        <row r="448">
          <cell r="Z448">
            <v>3</v>
          </cell>
          <cell r="AL448">
            <v>0</v>
          </cell>
          <cell r="AN448">
            <v>0</v>
          </cell>
        </row>
        <row r="449">
          <cell r="Z449">
            <v>3</v>
          </cell>
          <cell r="AL449">
            <v>0</v>
          </cell>
          <cell r="AN449">
            <v>0</v>
          </cell>
        </row>
        <row r="450">
          <cell r="Z450">
            <v>3</v>
          </cell>
          <cell r="AL450">
            <v>0</v>
          </cell>
          <cell r="AN450">
            <v>0</v>
          </cell>
        </row>
        <row r="451">
          <cell r="Z451">
            <v>3</v>
          </cell>
          <cell r="AL451">
            <v>0</v>
          </cell>
          <cell r="AN451">
            <v>0</v>
          </cell>
        </row>
        <row r="452">
          <cell r="Z452">
            <v>3</v>
          </cell>
          <cell r="AL452">
            <v>0</v>
          </cell>
          <cell r="AN452">
            <v>0</v>
          </cell>
        </row>
        <row r="453">
          <cell r="Z453">
            <v>3</v>
          </cell>
          <cell r="AL453">
            <v>0</v>
          </cell>
          <cell r="AN453">
            <v>0</v>
          </cell>
        </row>
        <row r="454">
          <cell r="Z454">
            <v>3</v>
          </cell>
          <cell r="AL454">
            <v>0</v>
          </cell>
          <cell r="AN454">
            <v>0</v>
          </cell>
        </row>
        <row r="455">
          <cell r="Z455">
            <v>3</v>
          </cell>
          <cell r="AL455">
            <v>0</v>
          </cell>
          <cell r="AN455">
            <v>0</v>
          </cell>
        </row>
        <row r="456">
          <cell r="Z456">
            <v>3</v>
          </cell>
          <cell r="AL456">
            <v>0</v>
          </cell>
          <cell r="AN456">
            <v>0</v>
          </cell>
        </row>
        <row r="457">
          <cell r="Z457">
            <v>3</v>
          </cell>
          <cell r="AL457">
            <v>0</v>
          </cell>
          <cell r="AN457">
            <v>0</v>
          </cell>
        </row>
        <row r="458">
          <cell r="Z458">
            <v>3</v>
          </cell>
          <cell r="AL458">
            <v>0</v>
          </cell>
          <cell r="AN458">
            <v>0</v>
          </cell>
        </row>
        <row r="459">
          <cell r="Z459">
            <v>3</v>
          </cell>
          <cell r="AL459">
            <v>0</v>
          </cell>
          <cell r="AN459">
            <v>0</v>
          </cell>
        </row>
        <row r="460">
          <cell r="Z460">
            <v>3</v>
          </cell>
          <cell r="AL460">
            <v>0</v>
          </cell>
          <cell r="AN460">
            <v>0</v>
          </cell>
        </row>
        <row r="461">
          <cell r="Z461">
            <v>3</v>
          </cell>
          <cell r="AL461">
            <v>0</v>
          </cell>
          <cell r="AN461">
            <v>0</v>
          </cell>
        </row>
        <row r="462">
          <cell r="Z462">
            <v>3</v>
          </cell>
          <cell r="AL462">
            <v>0</v>
          </cell>
          <cell r="AN462">
            <v>0</v>
          </cell>
        </row>
        <row r="463">
          <cell r="Z463">
            <v>1</v>
          </cell>
          <cell r="AL463">
            <v>0</v>
          </cell>
          <cell r="AN463">
            <v>0</v>
          </cell>
        </row>
        <row r="464">
          <cell r="Z464">
            <v>3</v>
          </cell>
          <cell r="AL464">
            <v>0</v>
          </cell>
          <cell r="AN464">
            <v>0</v>
          </cell>
        </row>
        <row r="465">
          <cell r="Z465">
            <v>3</v>
          </cell>
          <cell r="AL465">
            <v>0</v>
          </cell>
          <cell r="AN465">
            <v>0</v>
          </cell>
        </row>
        <row r="466">
          <cell r="Z466">
            <v>3</v>
          </cell>
          <cell r="AL466">
            <v>0</v>
          </cell>
          <cell r="AN466">
            <v>0</v>
          </cell>
        </row>
        <row r="467">
          <cell r="Z467">
            <v>3</v>
          </cell>
          <cell r="AL467">
            <v>0</v>
          </cell>
          <cell r="AN467">
            <v>0</v>
          </cell>
        </row>
        <row r="468">
          <cell r="Z468">
            <v>3</v>
          </cell>
          <cell r="AL468">
            <v>0</v>
          </cell>
          <cell r="AN468">
            <v>0</v>
          </cell>
        </row>
        <row r="469">
          <cell r="Z469">
            <v>3</v>
          </cell>
          <cell r="AL469">
            <v>0</v>
          </cell>
          <cell r="AN469">
            <v>0</v>
          </cell>
        </row>
        <row r="470">
          <cell r="Z470">
            <v>3</v>
          </cell>
          <cell r="AL470">
            <v>0</v>
          </cell>
          <cell r="AN470">
            <v>0</v>
          </cell>
        </row>
        <row r="471">
          <cell r="Z471">
            <v>1</v>
          </cell>
          <cell r="AL471">
            <v>0</v>
          </cell>
          <cell r="AN471">
            <v>0</v>
          </cell>
        </row>
        <row r="472">
          <cell r="Z472">
            <v>3</v>
          </cell>
          <cell r="AL472">
            <v>0</v>
          </cell>
          <cell r="AN472">
            <v>0</v>
          </cell>
        </row>
        <row r="473">
          <cell r="Z473">
            <v>1</v>
          </cell>
          <cell r="AL473">
            <v>0</v>
          </cell>
          <cell r="AN473">
            <v>0</v>
          </cell>
        </row>
        <row r="474">
          <cell r="Z474">
            <v>3</v>
          </cell>
          <cell r="AL474">
            <v>0</v>
          </cell>
          <cell r="AN474">
            <v>0</v>
          </cell>
        </row>
        <row r="475">
          <cell r="Z475">
            <v>3</v>
          </cell>
          <cell r="AL475">
            <v>0</v>
          </cell>
          <cell r="AN475">
            <v>0</v>
          </cell>
        </row>
        <row r="476">
          <cell r="Z476">
            <v>3</v>
          </cell>
          <cell r="AL476">
            <v>0</v>
          </cell>
          <cell r="AN476">
            <v>0</v>
          </cell>
        </row>
        <row r="477">
          <cell r="Z477">
            <v>1</v>
          </cell>
          <cell r="AL477">
            <v>0</v>
          </cell>
          <cell r="AN477">
            <v>0</v>
          </cell>
        </row>
        <row r="478">
          <cell r="Z478">
            <v>3</v>
          </cell>
          <cell r="AL478">
            <v>0</v>
          </cell>
          <cell r="AN478">
            <v>0</v>
          </cell>
        </row>
        <row r="479">
          <cell r="Z479">
            <v>3</v>
          </cell>
          <cell r="AL479">
            <v>0</v>
          </cell>
          <cell r="AN479">
            <v>0</v>
          </cell>
        </row>
        <row r="480">
          <cell r="Z480">
            <v>1</v>
          </cell>
          <cell r="AL480">
            <v>0</v>
          </cell>
          <cell r="AN480">
            <v>0</v>
          </cell>
        </row>
        <row r="481">
          <cell r="Z481">
            <v>1</v>
          </cell>
          <cell r="AL481">
            <v>0</v>
          </cell>
          <cell r="AN481">
            <v>0</v>
          </cell>
        </row>
        <row r="482">
          <cell r="Z482">
            <v>1</v>
          </cell>
          <cell r="AL482">
            <v>0</v>
          </cell>
          <cell r="AN482">
            <v>0</v>
          </cell>
        </row>
        <row r="483">
          <cell r="Z483">
            <v>1</v>
          </cell>
          <cell r="AL483">
            <v>0</v>
          </cell>
          <cell r="AN483">
            <v>0</v>
          </cell>
        </row>
        <row r="484">
          <cell r="Z484">
            <v>1</v>
          </cell>
          <cell r="AL484">
            <v>0</v>
          </cell>
          <cell r="AN484">
            <v>0</v>
          </cell>
        </row>
        <row r="485">
          <cell r="Z485">
            <v>1</v>
          </cell>
          <cell r="AL485">
            <v>0</v>
          </cell>
          <cell r="AN485">
            <v>0</v>
          </cell>
        </row>
        <row r="486">
          <cell r="Z486">
            <v>3</v>
          </cell>
          <cell r="AL486">
            <v>0</v>
          </cell>
          <cell r="AN486">
            <v>0</v>
          </cell>
        </row>
        <row r="487">
          <cell r="Z487">
            <v>3</v>
          </cell>
          <cell r="AL487">
            <v>0</v>
          </cell>
          <cell r="AN487">
            <v>0</v>
          </cell>
        </row>
        <row r="488">
          <cell r="Z488">
            <v>3</v>
          </cell>
          <cell r="AL488">
            <v>0</v>
          </cell>
          <cell r="AN488">
            <v>0</v>
          </cell>
        </row>
        <row r="489">
          <cell r="Z489">
            <v>1</v>
          </cell>
          <cell r="AL489">
            <v>0</v>
          </cell>
          <cell r="AN489">
            <v>0</v>
          </cell>
        </row>
        <row r="490">
          <cell r="Z490">
            <v>3</v>
          </cell>
          <cell r="AL490">
            <v>0</v>
          </cell>
          <cell r="AN490">
            <v>0</v>
          </cell>
        </row>
        <row r="491">
          <cell r="Z491">
            <v>3</v>
          </cell>
          <cell r="AL491">
            <v>0</v>
          </cell>
          <cell r="AN491">
            <v>0</v>
          </cell>
        </row>
        <row r="492">
          <cell r="Z492">
            <v>1</v>
          </cell>
          <cell r="AL492">
            <v>0</v>
          </cell>
          <cell r="AN492">
            <v>0</v>
          </cell>
        </row>
        <row r="493">
          <cell r="Z493">
            <v>3</v>
          </cell>
          <cell r="AL493">
            <v>0</v>
          </cell>
          <cell r="AN493">
            <v>0</v>
          </cell>
        </row>
        <row r="494">
          <cell r="Z494">
            <v>3</v>
          </cell>
          <cell r="AL494">
            <v>0</v>
          </cell>
          <cell r="AN494">
            <v>0</v>
          </cell>
        </row>
        <row r="495">
          <cell r="Z495">
            <v>3</v>
          </cell>
          <cell r="AL495">
            <v>0</v>
          </cell>
          <cell r="AN495">
            <v>0</v>
          </cell>
        </row>
        <row r="496">
          <cell r="Z496">
            <v>3</v>
          </cell>
          <cell r="AL496">
            <v>0</v>
          </cell>
          <cell r="AN496">
            <v>0</v>
          </cell>
        </row>
        <row r="497">
          <cell r="Z497">
            <v>3</v>
          </cell>
          <cell r="AL497">
            <v>0</v>
          </cell>
          <cell r="AN497">
            <v>0</v>
          </cell>
        </row>
        <row r="498">
          <cell r="Z498">
            <v>3</v>
          </cell>
          <cell r="AL498">
            <v>0</v>
          </cell>
          <cell r="AN498">
            <v>0</v>
          </cell>
        </row>
        <row r="499">
          <cell r="Z499">
            <v>1</v>
          </cell>
          <cell r="AL499">
            <v>0</v>
          </cell>
          <cell r="AN499">
            <v>0</v>
          </cell>
        </row>
        <row r="500">
          <cell r="Z500">
            <v>3</v>
          </cell>
          <cell r="AL500">
            <v>0</v>
          </cell>
          <cell r="AN500">
            <v>0</v>
          </cell>
        </row>
        <row r="501">
          <cell r="Z501">
            <v>3</v>
          </cell>
          <cell r="AL501">
            <v>0</v>
          </cell>
          <cell r="AN501">
            <v>0</v>
          </cell>
        </row>
        <row r="502">
          <cell r="Z502">
            <v>3</v>
          </cell>
          <cell r="AL502">
            <v>0</v>
          </cell>
          <cell r="AN502">
            <v>0</v>
          </cell>
        </row>
        <row r="503">
          <cell r="Z503">
            <v>3</v>
          </cell>
          <cell r="AL503">
            <v>0</v>
          </cell>
          <cell r="AN503">
            <v>0</v>
          </cell>
        </row>
        <row r="504">
          <cell r="Z504">
            <v>3</v>
          </cell>
          <cell r="AL504">
            <v>0</v>
          </cell>
          <cell r="AN504">
            <v>0</v>
          </cell>
        </row>
        <row r="505">
          <cell r="Z505">
            <v>3</v>
          </cell>
          <cell r="AL505">
            <v>0</v>
          </cell>
          <cell r="AN505">
            <v>0</v>
          </cell>
        </row>
        <row r="506">
          <cell r="Z506">
            <v>3</v>
          </cell>
          <cell r="AL506">
            <v>0</v>
          </cell>
          <cell r="AN506">
            <v>0</v>
          </cell>
        </row>
        <row r="507">
          <cell r="Z507">
            <v>3</v>
          </cell>
          <cell r="AL507">
            <v>0</v>
          </cell>
          <cell r="AN507">
            <v>0</v>
          </cell>
        </row>
        <row r="508">
          <cell r="Z508">
            <v>3</v>
          </cell>
          <cell r="AL508">
            <v>0</v>
          </cell>
          <cell r="AN508">
            <v>0</v>
          </cell>
        </row>
        <row r="509">
          <cell r="Z509">
            <v>3</v>
          </cell>
          <cell r="AL509">
            <v>0</v>
          </cell>
          <cell r="AN509">
            <v>0</v>
          </cell>
        </row>
        <row r="510">
          <cell r="Z510">
            <v>3</v>
          </cell>
          <cell r="AL510">
            <v>0</v>
          </cell>
          <cell r="AN510">
            <v>0</v>
          </cell>
        </row>
        <row r="511">
          <cell r="Z511">
            <v>3</v>
          </cell>
          <cell r="AL511">
            <v>0</v>
          </cell>
          <cell r="AN511">
            <v>0</v>
          </cell>
        </row>
        <row r="512">
          <cell r="Z512">
            <v>3</v>
          </cell>
          <cell r="AL512">
            <v>0</v>
          </cell>
          <cell r="AN512">
            <v>0</v>
          </cell>
        </row>
        <row r="513">
          <cell r="Z513">
            <v>3</v>
          </cell>
          <cell r="AL513">
            <v>0</v>
          </cell>
          <cell r="AN513">
            <v>0</v>
          </cell>
        </row>
        <row r="514">
          <cell r="Z514">
            <v>3</v>
          </cell>
          <cell r="AL514">
            <v>0</v>
          </cell>
          <cell r="AN514">
            <v>0</v>
          </cell>
        </row>
        <row r="515">
          <cell r="Z515">
            <v>3</v>
          </cell>
          <cell r="AL515">
            <v>0</v>
          </cell>
          <cell r="AN515">
            <v>0</v>
          </cell>
        </row>
        <row r="516">
          <cell r="Z516">
            <v>3</v>
          </cell>
          <cell r="AL516">
            <v>0</v>
          </cell>
          <cell r="AN516">
            <v>0</v>
          </cell>
        </row>
        <row r="517">
          <cell r="Z517">
            <v>3</v>
          </cell>
          <cell r="AL517">
            <v>0</v>
          </cell>
          <cell r="AN517">
            <v>0</v>
          </cell>
        </row>
        <row r="518">
          <cell r="Z518">
            <v>3</v>
          </cell>
          <cell r="AL518">
            <v>0</v>
          </cell>
          <cell r="AN518">
            <v>0</v>
          </cell>
        </row>
        <row r="519">
          <cell r="Z519">
            <v>3</v>
          </cell>
          <cell r="AL519">
            <v>0</v>
          </cell>
          <cell r="AN519">
            <v>0</v>
          </cell>
        </row>
        <row r="520">
          <cell r="Z520">
            <v>3</v>
          </cell>
          <cell r="AL520">
            <v>0</v>
          </cell>
          <cell r="AN520">
            <v>0</v>
          </cell>
        </row>
        <row r="521">
          <cell r="Z521">
            <v>3</v>
          </cell>
          <cell r="AL521">
            <v>0</v>
          </cell>
          <cell r="AN521">
            <v>0</v>
          </cell>
        </row>
        <row r="522">
          <cell r="Z522">
            <v>3</v>
          </cell>
          <cell r="AL522">
            <v>0</v>
          </cell>
          <cell r="AN522">
            <v>0</v>
          </cell>
        </row>
        <row r="523">
          <cell r="Z523">
            <v>3</v>
          </cell>
          <cell r="AL523">
            <v>0</v>
          </cell>
          <cell r="AN523">
            <v>0</v>
          </cell>
        </row>
        <row r="524">
          <cell r="Z524">
            <v>1</v>
          </cell>
          <cell r="AL524">
            <v>0</v>
          </cell>
          <cell r="AN524">
            <v>0</v>
          </cell>
        </row>
        <row r="525">
          <cell r="Z525">
            <v>1</v>
          </cell>
          <cell r="AL525">
            <v>0</v>
          </cell>
          <cell r="AN525">
            <v>0</v>
          </cell>
        </row>
        <row r="526">
          <cell r="Z526">
            <v>3</v>
          </cell>
          <cell r="AL526">
            <v>0</v>
          </cell>
          <cell r="AN526">
            <v>0</v>
          </cell>
        </row>
        <row r="527">
          <cell r="Z527">
            <v>3</v>
          </cell>
          <cell r="AL527">
            <v>0</v>
          </cell>
          <cell r="AN527">
            <v>0</v>
          </cell>
        </row>
        <row r="528">
          <cell r="Z528">
            <v>3</v>
          </cell>
          <cell r="AL528">
            <v>0</v>
          </cell>
          <cell r="AN528">
            <v>0</v>
          </cell>
        </row>
        <row r="529">
          <cell r="Z529">
            <v>3</v>
          </cell>
          <cell r="AL529">
            <v>0</v>
          </cell>
          <cell r="AN529">
            <v>0</v>
          </cell>
        </row>
        <row r="530">
          <cell r="Z530">
            <v>1</v>
          </cell>
          <cell r="AL530">
            <v>0</v>
          </cell>
          <cell r="AN530">
            <v>0</v>
          </cell>
        </row>
        <row r="531">
          <cell r="Z531">
            <v>1</v>
          </cell>
          <cell r="AL531">
            <v>0</v>
          </cell>
          <cell r="AN531">
            <v>0</v>
          </cell>
        </row>
        <row r="532">
          <cell r="Z532">
            <v>3</v>
          </cell>
          <cell r="AL532">
            <v>0</v>
          </cell>
          <cell r="AN532">
            <v>0</v>
          </cell>
        </row>
        <row r="533">
          <cell r="Z533">
            <v>3</v>
          </cell>
          <cell r="AL533">
            <v>0</v>
          </cell>
          <cell r="AN533">
            <v>0</v>
          </cell>
        </row>
        <row r="534">
          <cell r="Z534">
            <v>1</v>
          </cell>
          <cell r="AL534">
            <v>0</v>
          </cell>
          <cell r="AN534">
            <v>0</v>
          </cell>
        </row>
        <row r="535">
          <cell r="Z535">
            <v>3</v>
          </cell>
          <cell r="AL535">
            <v>0</v>
          </cell>
          <cell r="AN535">
            <v>0</v>
          </cell>
        </row>
        <row r="536">
          <cell r="Z536">
            <v>3</v>
          </cell>
          <cell r="AL536">
            <v>0</v>
          </cell>
          <cell r="AN536">
            <v>0</v>
          </cell>
        </row>
        <row r="537">
          <cell r="Z537">
            <v>3</v>
          </cell>
          <cell r="AL537">
            <v>0</v>
          </cell>
          <cell r="AN537">
            <v>0</v>
          </cell>
        </row>
        <row r="538">
          <cell r="Z538">
            <v>1</v>
          </cell>
          <cell r="AL538">
            <v>0</v>
          </cell>
          <cell r="AN538">
            <v>0</v>
          </cell>
        </row>
        <row r="539">
          <cell r="Z539">
            <v>3</v>
          </cell>
          <cell r="AL539">
            <v>0</v>
          </cell>
          <cell r="AN539">
            <v>0</v>
          </cell>
        </row>
        <row r="540">
          <cell r="Z540">
            <v>3</v>
          </cell>
          <cell r="AL540">
            <v>0</v>
          </cell>
          <cell r="AN540">
            <v>0</v>
          </cell>
        </row>
        <row r="541">
          <cell r="Z541">
            <v>3</v>
          </cell>
          <cell r="AL541">
            <v>0</v>
          </cell>
          <cell r="AN541">
            <v>0</v>
          </cell>
        </row>
        <row r="542">
          <cell r="Z542">
            <v>1</v>
          </cell>
          <cell r="AL542">
            <v>0</v>
          </cell>
          <cell r="AN542">
            <v>0</v>
          </cell>
        </row>
        <row r="543">
          <cell r="Z543">
            <v>1</v>
          </cell>
          <cell r="AL543">
            <v>0</v>
          </cell>
          <cell r="AN543">
            <v>0</v>
          </cell>
        </row>
        <row r="544">
          <cell r="Z544">
            <v>3</v>
          </cell>
          <cell r="AL544">
            <v>0</v>
          </cell>
          <cell r="AN544">
            <v>0</v>
          </cell>
        </row>
        <row r="545">
          <cell r="Z545">
            <v>3</v>
          </cell>
          <cell r="AL545">
            <v>0</v>
          </cell>
          <cell r="AN545">
            <v>0</v>
          </cell>
        </row>
        <row r="546">
          <cell r="Z546">
            <v>3</v>
          </cell>
          <cell r="AL546">
            <v>0</v>
          </cell>
          <cell r="AN546">
            <v>0</v>
          </cell>
        </row>
      </sheetData>
      <sheetData sheetId="8">
        <row r="1">
          <cell r="G1" t="str">
            <v>IncomeBenefitType</v>
          </cell>
          <cell r="O1" t="str">
            <v>Entry Assess?</v>
          </cell>
          <cell r="P1" t="str">
            <v>Exit Assess?</v>
          </cell>
          <cell r="R1" t="str">
            <v>Duplicate?</v>
          </cell>
        </row>
        <row r="2">
          <cell r="G2">
            <v>1</v>
          </cell>
          <cell r="O2" t="str">
            <v>Y</v>
          </cell>
          <cell r="P2" t="str">
            <v>N</v>
          </cell>
          <cell r="R2" t="b">
            <v>0</v>
          </cell>
        </row>
        <row r="3">
          <cell r="G3">
            <v>1</v>
          </cell>
          <cell r="O3" t="str">
            <v>Y</v>
          </cell>
          <cell r="P3" t="str">
            <v>N</v>
          </cell>
          <cell r="R3" t="b">
            <v>1</v>
          </cell>
        </row>
        <row r="4">
          <cell r="G4">
            <v>2</v>
          </cell>
          <cell r="O4" t="str">
            <v>Y</v>
          </cell>
          <cell r="P4" t="str">
            <v>N</v>
          </cell>
          <cell r="R4" t="b">
            <v>1</v>
          </cell>
        </row>
        <row r="5">
          <cell r="G5">
            <v>1</v>
          </cell>
          <cell r="O5" t="str">
            <v>Y</v>
          </cell>
          <cell r="P5" t="str">
            <v>N</v>
          </cell>
          <cell r="R5" t="b">
            <v>0</v>
          </cell>
        </row>
        <row r="6">
          <cell r="G6">
            <v>2</v>
          </cell>
          <cell r="O6" t="str">
            <v>Y</v>
          </cell>
          <cell r="P6" t="str">
            <v>N</v>
          </cell>
          <cell r="R6" t="b">
            <v>1</v>
          </cell>
        </row>
        <row r="7">
          <cell r="G7">
            <v>2</v>
          </cell>
          <cell r="O7" t="str">
            <v>Y</v>
          </cell>
          <cell r="P7" t="str">
            <v>N</v>
          </cell>
          <cell r="R7" t="b">
            <v>1</v>
          </cell>
        </row>
        <row r="8">
          <cell r="G8">
            <v>1</v>
          </cell>
          <cell r="O8" t="str">
            <v>Y</v>
          </cell>
          <cell r="P8" t="str">
            <v>N</v>
          </cell>
          <cell r="R8" t="b">
            <v>0</v>
          </cell>
        </row>
        <row r="9">
          <cell r="G9">
            <v>2</v>
          </cell>
          <cell r="O9" t="str">
            <v>Y</v>
          </cell>
          <cell r="P9" t="str">
            <v>N</v>
          </cell>
          <cell r="R9" t="b">
            <v>1</v>
          </cell>
        </row>
        <row r="10">
          <cell r="G10">
            <v>2</v>
          </cell>
          <cell r="O10" t="str">
            <v>Y</v>
          </cell>
          <cell r="P10" t="str">
            <v>N</v>
          </cell>
          <cell r="R10" t="b">
            <v>1</v>
          </cell>
        </row>
        <row r="11">
          <cell r="G11">
            <v>1</v>
          </cell>
          <cell r="O11" t="str">
            <v>N</v>
          </cell>
          <cell r="P11" t="str">
            <v>Y</v>
          </cell>
          <cell r="R11" t="b">
            <v>0</v>
          </cell>
        </row>
        <row r="12">
          <cell r="G12">
            <v>1</v>
          </cell>
          <cell r="O12" t="str">
            <v>N</v>
          </cell>
          <cell r="P12" t="str">
            <v>Y</v>
          </cell>
          <cell r="R12" t="b">
            <v>1</v>
          </cell>
        </row>
        <row r="13">
          <cell r="G13">
            <v>2</v>
          </cell>
          <cell r="O13" t="str">
            <v>N</v>
          </cell>
          <cell r="P13" t="str">
            <v>Y</v>
          </cell>
          <cell r="R13" t="b">
            <v>1</v>
          </cell>
        </row>
        <row r="14">
          <cell r="G14">
            <v>1</v>
          </cell>
          <cell r="O14" t="str">
            <v>Y</v>
          </cell>
          <cell r="P14" t="str">
            <v>N</v>
          </cell>
          <cell r="R14" t="b">
            <v>0</v>
          </cell>
        </row>
        <row r="15">
          <cell r="G15">
            <v>1</v>
          </cell>
          <cell r="O15" t="str">
            <v>N</v>
          </cell>
          <cell r="P15" t="str">
            <v>Y</v>
          </cell>
          <cell r="R15" t="b">
            <v>0</v>
          </cell>
        </row>
        <row r="16">
          <cell r="G16">
            <v>1</v>
          </cell>
          <cell r="O16" t="str">
            <v>N</v>
          </cell>
          <cell r="P16" t="str">
            <v>Y</v>
          </cell>
          <cell r="R16" t="b">
            <v>1</v>
          </cell>
        </row>
        <row r="17">
          <cell r="G17">
            <v>2</v>
          </cell>
          <cell r="O17" t="str">
            <v>N</v>
          </cell>
          <cell r="P17" t="str">
            <v>Y</v>
          </cell>
          <cell r="R17" t="b">
            <v>1</v>
          </cell>
        </row>
        <row r="18">
          <cell r="G18">
            <v>2</v>
          </cell>
          <cell r="O18" t="str">
            <v>N</v>
          </cell>
          <cell r="P18" t="str">
            <v>Y</v>
          </cell>
          <cell r="R18" t="b">
            <v>1</v>
          </cell>
        </row>
        <row r="19">
          <cell r="G19">
            <v>1</v>
          </cell>
          <cell r="O19" t="str">
            <v>Y</v>
          </cell>
          <cell r="P19" t="str">
            <v>N</v>
          </cell>
          <cell r="R19" t="b">
            <v>0</v>
          </cell>
        </row>
        <row r="20">
          <cell r="G20">
            <v>2</v>
          </cell>
          <cell r="O20" t="str">
            <v>Y</v>
          </cell>
          <cell r="P20" t="str">
            <v>N</v>
          </cell>
          <cell r="R20" t="b">
            <v>1</v>
          </cell>
        </row>
        <row r="21">
          <cell r="G21">
            <v>2</v>
          </cell>
          <cell r="O21" t="str">
            <v>Y</v>
          </cell>
          <cell r="P21" t="str">
            <v>N</v>
          </cell>
          <cell r="R21" t="b">
            <v>1</v>
          </cell>
        </row>
        <row r="22">
          <cell r="G22">
            <v>1</v>
          </cell>
          <cell r="O22" t="str">
            <v>Y</v>
          </cell>
          <cell r="P22" t="str">
            <v>N</v>
          </cell>
          <cell r="R22" t="b">
            <v>0</v>
          </cell>
        </row>
        <row r="23">
          <cell r="G23">
            <v>2</v>
          </cell>
          <cell r="O23" t="str">
            <v>N</v>
          </cell>
          <cell r="P23" t="str">
            <v>Y</v>
          </cell>
          <cell r="R23" t="b">
            <v>0</v>
          </cell>
        </row>
        <row r="24">
          <cell r="G24">
            <v>1</v>
          </cell>
          <cell r="O24" t="str">
            <v>Y</v>
          </cell>
          <cell r="P24" t="str">
            <v>N</v>
          </cell>
          <cell r="R24" t="b">
            <v>0</v>
          </cell>
        </row>
        <row r="25">
          <cell r="G25">
            <v>1</v>
          </cell>
          <cell r="O25" t="str">
            <v>Y</v>
          </cell>
          <cell r="P25" t="str">
            <v>N</v>
          </cell>
          <cell r="R25" t="b">
            <v>1</v>
          </cell>
        </row>
        <row r="26">
          <cell r="G26">
            <v>2</v>
          </cell>
          <cell r="O26" t="str">
            <v>Y</v>
          </cell>
          <cell r="P26" t="str">
            <v>N</v>
          </cell>
          <cell r="R26" t="b">
            <v>1</v>
          </cell>
        </row>
        <row r="27">
          <cell r="G27">
            <v>2</v>
          </cell>
          <cell r="O27" t="str">
            <v>Y</v>
          </cell>
          <cell r="P27" t="str">
            <v>N</v>
          </cell>
          <cell r="R27" t="b">
            <v>1</v>
          </cell>
        </row>
        <row r="28">
          <cell r="G28">
            <v>1</v>
          </cell>
          <cell r="O28" t="str">
            <v>N</v>
          </cell>
          <cell r="P28" t="str">
            <v>N</v>
          </cell>
          <cell r="R28" t="b">
            <v>0</v>
          </cell>
        </row>
        <row r="29">
          <cell r="G29">
            <v>2</v>
          </cell>
          <cell r="O29" t="str">
            <v>N</v>
          </cell>
          <cell r="P29" t="str">
            <v>N</v>
          </cell>
          <cell r="R29" t="b">
            <v>1</v>
          </cell>
        </row>
        <row r="30">
          <cell r="G30">
            <v>2</v>
          </cell>
          <cell r="O30" t="str">
            <v>N</v>
          </cell>
          <cell r="P30" t="str">
            <v>N</v>
          </cell>
          <cell r="R30" t="b">
            <v>1</v>
          </cell>
        </row>
        <row r="31">
          <cell r="G31">
            <v>1</v>
          </cell>
          <cell r="O31" t="str">
            <v>Y</v>
          </cell>
          <cell r="P31" t="str">
            <v>N</v>
          </cell>
          <cell r="R31" t="b">
            <v>0</v>
          </cell>
        </row>
        <row r="32">
          <cell r="G32">
            <v>1</v>
          </cell>
          <cell r="O32" t="str">
            <v>Y</v>
          </cell>
          <cell r="P32" t="str">
            <v>N</v>
          </cell>
          <cell r="R32" t="b">
            <v>1</v>
          </cell>
        </row>
        <row r="33">
          <cell r="G33">
            <v>2</v>
          </cell>
          <cell r="O33" t="str">
            <v>Y</v>
          </cell>
          <cell r="P33" t="str">
            <v>N</v>
          </cell>
          <cell r="R33" t="b">
            <v>1</v>
          </cell>
        </row>
        <row r="34">
          <cell r="G34">
            <v>2</v>
          </cell>
          <cell r="O34" t="str">
            <v>Y</v>
          </cell>
          <cell r="P34" t="str">
            <v>N</v>
          </cell>
          <cell r="R34" t="b">
            <v>1</v>
          </cell>
        </row>
        <row r="35">
          <cell r="G35">
            <v>1</v>
          </cell>
          <cell r="O35" t="str">
            <v>N</v>
          </cell>
          <cell r="P35" t="str">
            <v>Y</v>
          </cell>
          <cell r="R35" t="b">
            <v>0</v>
          </cell>
        </row>
        <row r="36">
          <cell r="G36">
            <v>1</v>
          </cell>
          <cell r="O36" t="str">
            <v>N</v>
          </cell>
          <cell r="P36" t="str">
            <v>Y</v>
          </cell>
          <cell r="R36" t="b">
            <v>0</v>
          </cell>
        </row>
        <row r="37">
          <cell r="G37">
            <v>2</v>
          </cell>
          <cell r="O37" t="str">
            <v>N</v>
          </cell>
          <cell r="P37" t="str">
            <v>Y</v>
          </cell>
          <cell r="R37" t="b">
            <v>1</v>
          </cell>
        </row>
        <row r="38">
          <cell r="G38">
            <v>2</v>
          </cell>
          <cell r="O38" t="str">
            <v>N</v>
          </cell>
          <cell r="P38" t="str">
            <v>Y</v>
          </cell>
          <cell r="R38" t="b">
            <v>1</v>
          </cell>
        </row>
        <row r="39">
          <cell r="G39">
            <v>2</v>
          </cell>
          <cell r="O39" t="str">
            <v>N</v>
          </cell>
          <cell r="P39" t="str">
            <v>Y</v>
          </cell>
          <cell r="R39" t="b">
            <v>0</v>
          </cell>
        </row>
        <row r="40">
          <cell r="G40">
            <v>2</v>
          </cell>
          <cell r="O40" t="str">
            <v>Y</v>
          </cell>
          <cell r="P40" t="str">
            <v>N</v>
          </cell>
          <cell r="R40" t="b">
            <v>0</v>
          </cell>
        </row>
        <row r="41">
          <cell r="G41">
            <v>1</v>
          </cell>
          <cell r="O41" t="str">
            <v>Y</v>
          </cell>
          <cell r="P41" t="str">
            <v>N</v>
          </cell>
          <cell r="R41" t="b">
            <v>0</v>
          </cell>
        </row>
        <row r="42">
          <cell r="G42">
            <v>1</v>
          </cell>
          <cell r="O42" t="str">
            <v>Y</v>
          </cell>
          <cell r="P42" t="str">
            <v>N</v>
          </cell>
          <cell r="R42" t="b">
            <v>1</v>
          </cell>
        </row>
        <row r="43">
          <cell r="G43">
            <v>2</v>
          </cell>
          <cell r="O43" t="str">
            <v>Y</v>
          </cell>
          <cell r="P43" t="str">
            <v>N</v>
          </cell>
          <cell r="R43" t="b">
            <v>1</v>
          </cell>
        </row>
        <row r="44">
          <cell r="G44">
            <v>2</v>
          </cell>
          <cell r="O44" t="str">
            <v>Y</v>
          </cell>
          <cell r="P44" t="str">
            <v>N</v>
          </cell>
          <cell r="R44" t="b">
            <v>1</v>
          </cell>
        </row>
        <row r="45">
          <cell r="G45">
            <v>1</v>
          </cell>
          <cell r="O45" t="str">
            <v>Y</v>
          </cell>
          <cell r="P45" t="str">
            <v>N</v>
          </cell>
          <cell r="R45" t="b">
            <v>0</v>
          </cell>
        </row>
        <row r="46">
          <cell r="G46">
            <v>2</v>
          </cell>
          <cell r="O46" t="str">
            <v>Y</v>
          </cell>
          <cell r="P46" t="str">
            <v>N</v>
          </cell>
          <cell r="R46" t="b">
            <v>1</v>
          </cell>
        </row>
        <row r="47">
          <cell r="G47">
            <v>2</v>
          </cell>
          <cell r="O47" t="str">
            <v>Y</v>
          </cell>
          <cell r="P47" t="str">
            <v>N</v>
          </cell>
          <cell r="R47" t="b">
            <v>1</v>
          </cell>
        </row>
        <row r="48">
          <cell r="G48">
            <v>2</v>
          </cell>
          <cell r="O48" t="str">
            <v>Y</v>
          </cell>
          <cell r="P48" t="str">
            <v>N</v>
          </cell>
          <cell r="R48" t="b">
            <v>1</v>
          </cell>
        </row>
        <row r="49">
          <cell r="G49">
            <v>2</v>
          </cell>
          <cell r="O49" t="str">
            <v>N</v>
          </cell>
          <cell r="P49" t="str">
            <v>Y</v>
          </cell>
          <cell r="R49" t="b">
            <v>0</v>
          </cell>
        </row>
        <row r="50">
          <cell r="G50">
            <v>2</v>
          </cell>
          <cell r="O50" t="str">
            <v>N</v>
          </cell>
          <cell r="P50" t="str">
            <v>Y</v>
          </cell>
          <cell r="R50" t="b">
            <v>1</v>
          </cell>
        </row>
        <row r="51">
          <cell r="G51">
            <v>1</v>
          </cell>
          <cell r="O51" t="str">
            <v>N</v>
          </cell>
          <cell r="P51" t="str">
            <v>Y</v>
          </cell>
          <cell r="R51" t="b">
            <v>0</v>
          </cell>
        </row>
        <row r="52">
          <cell r="G52">
            <v>1</v>
          </cell>
          <cell r="O52" t="str">
            <v>N</v>
          </cell>
          <cell r="P52" t="str">
            <v>Y</v>
          </cell>
          <cell r="R52" t="b">
            <v>0</v>
          </cell>
        </row>
        <row r="53">
          <cell r="G53">
            <v>1</v>
          </cell>
          <cell r="O53" t="str">
            <v>N</v>
          </cell>
          <cell r="P53" t="str">
            <v>Y</v>
          </cell>
          <cell r="R53" t="b">
            <v>1</v>
          </cell>
        </row>
        <row r="54">
          <cell r="G54">
            <v>1</v>
          </cell>
          <cell r="O54" t="str">
            <v>N</v>
          </cell>
          <cell r="P54" t="str">
            <v>Y</v>
          </cell>
          <cell r="R54" t="b">
            <v>1</v>
          </cell>
        </row>
        <row r="55">
          <cell r="G55">
            <v>1</v>
          </cell>
          <cell r="O55" t="str">
            <v>N</v>
          </cell>
          <cell r="P55" t="str">
            <v>Y</v>
          </cell>
          <cell r="R55" t="b">
            <v>1</v>
          </cell>
        </row>
        <row r="56">
          <cell r="G56">
            <v>1</v>
          </cell>
          <cell r="O56" t="str">
            <v>N</v>
          </cell>
          <cell r="P56" t="str">
            <v>Y</v>
          </cell>
          <cell r="R56" t="b">
            <v>1</v>
          </cell>
        </row>
        <row r="57">
          <cell r="G57">
            <v>1</v>
          </cell>
          <cell r="O57" t="str">
            <v>N</v>
          </cell>
          <cell r="P57" t="str">
            <v>Y</v>
          </cell>
          <cell r="R57" t="b">
            <v>1</v>
          </cell>
        </row>
        <row r="58">
          <cell r="G58">
            <v>2</v>
          </cell>
          <cell r="O58" t="str">
            <v>N</v>
          </cell>
          <cell r="P58" t="str">
            <v>Y</v>
          </cell>
          <cell r="R58" t="b">
            <v>1</v>
          </cell>
        </row>
        <row r="59">
          <cell r="G59">
            <v>2</v>
          </cell>
          <cell r="O59" t="str">
            <v>N</v>
          </cell>
          <cell r="P59" t="str">
            <v>Y</v>
          </cell>
          <cell r="R59" t="b">
            <v>1</v>
          </cell>
        </row>
        <row r="60">
          <cell r="G60">
            <v>1</v>
          </cell>
          <cell r="O60" t="str">
            <v>N</v>
          </cell>
          <cell r="P60" t="str">
            <v>Y</v>
          </cell>
          <cell r="R60" t="b">
            <v>0</v>
          </cell>
        </row>
        <row r="61">
          <cell r="G61">
            <v>1</v>
          </cell>
          <cell r="O61" t="str">
            <v>N</v>
          </cell>
          <cell r="P61" t="str">
            <v>Y</v>
          </cell>
          <cell r="R61" t="b">
            <v>0</v>
          </cell>
        </row>
        <row r="62">
          <cell r="G62">
            <v>2</v>
          </cell>
          <cell r="O62" t="str">
            <v>N</v>
          </cell>
          <cell r="P62" t="str">
            <v>Y</v>
          </cell>
          <cell r="R62" t="b">
            <v>1</v>
          </cell>
        </row>
        <row r="63">
          <cell r="G63">
            <v>2</v>
          </cell>
          <cell r="O63" t="str">
            <v>N</v>
          </cell>
          <cell r="P63" t="str">
            <v>Y</v>
          </cell>
          <cell r="R63" t="b">
            <v>1</v>
          </cell>
        </row>
        <row r="64">
          <cell r="G64">
            <v>2</v>
          </cell>
          <cell r="O64" t="str">
            <v>N</v>
          </cell>
          <cell r="P64" t="str">
            <v>Y</v>
          </cell>
          <cell r="R64" t="b">
            <v>1</v>
          </cell>
        </row>
        <row r="65">
          <cell r="G65">
            <v>1</v>
          </cell>
          <cell r="O65" t="str">
            <v>N</v>
          </cell>
          <cell r="P65" t="str">
            <v>Y</v>
          </cell>
          <cell r="R65" t="b">
            <v>0</v>
          </cell>
        </row>
        <row r="66">
          <cell r="G66">
            <v>1</v>
          </cell>
          <cell r="O66" t="str">
            <v>N</v>
          </cell>
          <cell r="P66" t="str">
            <v>Y</v>
          </cell>
          <cell r="R66" t="b">
            <v>1</v>
          </cell>
        </row>
        <row r="67">
          <cell r="G67">
            <v>2</v>
          </cell>
          <cell r="O67" t="str">
            <v>N</v>
          </cell>
          <cell r="P67" t="str">
            <v>Y</v>
          </cell>
          <cell r="R67" t="b">
            <v>1</v>
          </cell>
        </row>
        <row r="68">
          <cell r="G68">
            <v>2</v>
          </cell>
          <cell r="O68" t="str">
            <v>N</v>
          </cell>
          <cell r="P68" t="str">
            <v>Y</v>
          </cell>
          <cell r="R68" t="b">
            <v>1</v>
          </cell>
        </row>
        <row r="69">
          <cell r="G69">
            <v>2</v>
          </cell>
          <cell r="O69" t="str">
            <v>N</v>
          </cell>
          <cell r="P69" t="str">
            <v>N</v>
          </cell>
          <cell r="R69" t="b">
            <v>0</v>
          </cell>
        </row>
        <row r="70">
          <cell r="G70">
            <v>2</v>
          </cell>
          <cell r="O70" t="str">
            <v>N</v>
          </cell>
          <cell r="P70" t="str">
            <v>N</v>
          </cell>
          <cell r="R70" t="b">
            <v>1</v>
          </cell>
        </row>
        <row r="71">
          <cell r="G71">
            <v>1</v>
          </cell>
          <cell r="O71" t="str">
            <v>Y</v>
          </cell>
          <cell r="P71" t="str">
            <v>N</v>
          </cell>
          <cell r="R71" t="b">
            <v>0</v>
          </cell>
        </row>
        <row r="72">
          <cell r="G72">
            <v>2</v>
          </cell>
          <cell r="O72" t="str">
            <v>Y</v>
          </cell>
          <cell r="P72" t="str">
            <v>N</v>
          </cell>
          <cell r="R72" t="b">
            <v>1</v>
          </cell>
        </row>
        <row r="73">
          <cell r="G73">
            <v>2</v>
          </cell>
          <cell r="O73" t="str">
            <v>Y</v>
          </cell>
          <cell r="P73" t="str">
            <v>N</v>
          </cell>
          <cell r="R73" t="b">
            <v>1</v>
          </cell>
        </row>
        <row r="74">
          <cell r="G74">
            <v>2</v>
          </cell>
          <cell r="O74" t="str">
            <v>Y</v>
          </cell>
          <cell r="P74" t="str">
            <v>N</v>
          </cell>
          <cell r="R74" t="b">
            <v>1</v>
          </cell>
        </row>
        <row r="75">
          <cell r="G75">
            <v>2</v>
          </cell>
          <cell r="O75" t="str">
            <v>N</v>
          </cell>
          <cell r="P75" t="str">
            <v>Y</v>
          </cell>
          <cell r="R75" t="b">
            <v>0</v>
          </cell>
        </row>
        <row r="76">
          <cell r="G76">
            <v>1</v>
          </cell>
          <cell r="O76" t="str">
            <v>N</v>
          </cell>
          <cell r="P76" t="str">
            <v>Y</v>
          </cell>
          <cell r="R76" t="b">
            <v>0</v>
          </cell>
        </row>
        <row r="77">
          <cell r="G77">
            <v>1</v>
          </cell>
          <cell r="O77" t="str">
            <v>N</v>
          </cell>
          <cell r="P77" t="str">
            <v>Y</v>
          </cell>
          <cell r="R77" t="b">
            <v>0</v>
          </cell>
        </row>
        <row r="78">
          <cell r="G78">
            <v>1</v>
          </cell>
          <cell r="O78" t="str">
            <v>N</v>
          </cell>
          <cell r="P78" t="str">
            <v>Y</v>
          </cell>
          <cell r="R78" t="b">
            <v>1</v>
          </cell>
        </row>
        <row r="79">
          <cell r="G79">
            <v>2</v>
          </cell>
          <cell r="O79" t="str">
            <v>N</v>
          </cell>
          <cell r="P79" t="str">
            <v>Y</v>
          </cell>
          <cell r="R79" t="b">
            <v>1</v>
          </cell>
        </row>
        <row r="80">
          <cell r="G80">
            <v>2</v>
          </cell>
          <cell r="O80" t="str">
            <v>N</v>
          </cell>
          <cell r="P80" t="str">
            <v>Y</v>
          </cell>
          <cell r="R80" t="b">
            <v>1</v>
          </cell>
        </row>
        <row r="81">
          <cell r="G81">
            <v>1</v>
          </cell>
          <cell r="O81" t="str">
            <v>Y</v>
          </cell>
          <cell r="P81" t="str">
            <v>N</v>
          </cell>
          <cell r="R81" t="b">
            <v>0</v>
          </cell>
        </row>
        <row r="82">
          <cell r="G82">
            <v>2</v>
          </cell>
          <cell r="O82" t="str">
            <v>Y</v>
          </cell>
          <cell r="P82" t="str">
            <v>N</v>
          </cell>
          <cell r="R82" t="b">
            <v>1</v>
          </cell>
        </row>
        <row r="83">
          <cell r="G83">
            <v>2</v>
          </cell>
          <cell r="O83" t="str">
            <v>Y</v>
          </cell>
          <cell r="P83" t="str">
            <v>N</v>
          </cell>
          <cell r="R83" t="b">
            <v>1</v>
          </cell>
        </row>
        <row r="84">
          <cell r="G84">
            <v>1</v>
          </cell>
          <cell r="O84" t="str">
            <v>N</v>
          </cell>
          <cell r="P84" t="str">
            <v>N</v>
          </cell>
          <cell r="R84" t="b">
            <v>0</v>
          </cell>
        </row>
        <row r="85">
          <cell r="G85">
            <v>2</v>
          </cell>
          <cell r="O85" t="str">
            <v>N</v>
          </cell>
          <cell r="P85" t="str">
            <v>N</v>
          </cell>
          <cell r="R85" t="b">
            <v>1</v>
          </cell>
        </row>
        <row r="86">
          <cell r="G86">
            <v>2</v>
          </cell>
          <cell r="O86" t="str">
            <v>N</v>
          </cell>
          <cell r="P86" t="str">
            <v>N</v>
          </cell>
          <cell r="R86" t="b">
            <v>1</v>
          </cell>
        </row>
        <row r="87">
          <cell r="G87">
            <v>2</v>
          </cell>
          <cell r="O87" t="str">
            <v>N</v>
          </cell>
          <cell r="P87" t="str">
            <v>Y</v>
          </cell>
          <cell r="R87" t="b">
            <v>0</v>
          </cell>
        </row>
        <row r="88">
          <cell r="G88">
            <v>1</v>
          </cell>
          <cell r="O88" t="str">
            <v>N</v>
          </cell>
          <cell r="P88" t="str">
            <v>Y</v>
          </cell>
          <cell r="R88" t="b">
            <v>0</v>
          </cell>
        </row>
        <row r="89">
          <cell r="G89">
            <v>1</v>
          </cell>
          <cell r="O89" t="str">
            <v>N</v>
          </cell>
          <cell r="P89" t="str">
            <v>Y</v>
          </cell>
          <cell r="R89" t="b">
            <v>1</v>
          </cell>
        </row>
        <row r="90">
          <cell r="G90">
            <v>2</v>
          </cell>
          <cell r="O90" t="str">
            <v>N</v>
          </cell>
          <cell r="P90" t="str">
            <v>Y</v>
          </cell>
          <cell r="R90" t="b">
            <v>1</v>
          </cell>
        </row>
        <row r="91">
          <cell r="G91">
            <v>2</v>
          </cell>
          <cell r="O91" t="str">
            <v>N</v>
          </cell>
          <cell r="P91" t="str">
            <v>Y</v>
          </cell>
          <cell r="R91" t="b">
            <v>1</v>
          </cell>
        </row>
        <row r="92">
          <cell r="G92">
            <v>1</v>
          </cell>
          <cell r="O92" t="str">
            <v>N</v>
          </cell>
          <cell r="P92" t="str">
            <v>Y</v>
          </cell>
          <cell r="R92" t="b">
            <v>0</v>
          </cell>
        </row>
        <row r="93">
          <cell r="G93">
            <v>2</v>
          </cell>
          <cell r="O93" t="str">
            <v>N</v>
          </cell>
          <cell r="P93" t="str">
            <v>Y</v>
          </cell>
          <cell r="R93" t="b">
            <v>1</v>
          </cell>
        </row>
        <row r="94">
          <cell r="G94">
            <v>2</v>
          </cell>
          <cell r="O94" t="str">
            <v>N</v>
          </cell>
          <cell r="P94" t="str">
            <v>Y</v>
          </cell>
          <cell r="R94" t="b">
            <v>1</v>
          </cell>
        </row>
        <row r="95">
          <cell r="G95">
            <v>2</v>
          </cell>
          <cell r="O95" t="str">
            <v>N</v>
          </cell>
          <cell r="P95" t="str">
            <v>Y</v>
          </cell>
          <cell r="R95" t="b">
            <v>1</v>
          </cell>
        </row>
        <row r="96">
          <cell r="G96">
            <v>2</v>
          </cell>
          <cell r="O96" t="str">
            <v>N</v>
          </cell>
          <cell r="P96" t="str">
            <v>Y</v>
          </cell>
          <cell r="R96" t="b">
            <v>1</v>
          </cell>
        </row>
        <row r="97">
          <cell r="G97">
            <v>1</v>
          </cell>
          <cell r="O97" t="str">
            <v>N</v>
          </cell>
          <cell r="P97" t="str">
            <v>Y</v>
          </cell>
          <cell r="R97" t="b">
            <v>0</v>
          </cell>
        </row>
        <row r="98">
          <cell r="G98">
            <v>2</v>
          </cell>
          <cell r="O98" t="str">
            <v>N</v>
          </cell>
          <cell r="P98" t="str">
            <v>Y</v>
          </cell>
          <cell r="R98" t="b">
            <v>1</v>
          </cell>
        </row>
        <row r="99">
          <cell r="G99">
            <v>2</v>
          </cell>
          <cell r="O99" t="str">
            <v>N</v>
          </cell>
          <cell r="P99" t="str">
            <v>Y</v>
          </cell>
          <cell r="R99" t="b">
            <v>1</v>
          </cell>
        </row>
        <row r="100">
          <cell r="G100">
            <v>2</v>
          </cell>
          <cell r="O100" t="str">
            <v>N</v>
          </cell>
          <cell r="P100" t="str">
            <v>Y</v>
          </cell>
          <cell r="R100" t="b">
            <v>1</v>
          </cell>
        </row>
        <row r="101">
          <cell r="G101">
            <v>1</v>
          </cell>
          <cell r="O101" t="str">
            <v>N</v>
          </cell>
          <cell r="P101" t="str">
            <v>N</v>
          </cell>
          <cell r="R101" t="b">
            <v>0</v>
          </cell>
        </row>
        <row r="102">
          <cell r="G102">
            <v>2</v>
          </cell>
          <cell r="O102" t="str">
            <v>N</v>
          </cell>
          <cell r="P102" t="str">
            <v>N</v>
          </cell>
          <cell r="R102" t="b">
            <v>1</v>
          </cell>
        </row>
        <row r="103">
          <cell r="G103">
            <v>2</v>
          </cell>
          <cell r="O103" t="str">
            <v>N</v>
          </cell>
          <cell r="P103" t="str">
            <v>N</v>
          </cell>
          <cell r="R103" t="b">
            <v>1</v>
          </cell>
        </row>
        <row r="104">
          <cell r="G104">
            <v>2</v>
          </cell>
          <cell r="O104" t="str">
            <v>N</v>
          </cell>
          <cell r="P104" t="str">
            <v>N</v>
          </cell>
          <cell r="R104" t="b">
            <v>1</v>
          </cell>
        </row>
        <row r="105">
          <cell r="G105">
            <v>1</v>
          </cell>
          <cell r="O105" t="str">
            <v>N</v>
          </cell>
          <cell r="P105" t="str">
            <v>N</v>
          </cell>
          <cell r="R105" t="b">
            <v>0</v>
          </cell>
        </row>
        <row r="106">
          <cell r="G106">
            <v>2</v>
          </cell>
          <cell r="O106" t="str">
            <v>N</v>
          </cell>
          <cell r="P106" t="str">
            <v>N</v>
          </cell>
          <cell r="R106" t="b">
            <v>1</v>
          </cell>
        </row>
        <row r="107">
          <cell r="G107">
            <v>2</v>
          </cell>
          <cell r="O107" t="str">
            <v>N</v>
          </cell>
          <cell r="P107" t="str">
            <v>N</v>
          </cell>
          <cell r="R107" t="b">
            <v>1</v>
          </cell>
        </row>
        <row r="108">
          <cell r="G108">
            <v>2</v>
          </cell>
          <cell r="O108" t="str">
            <v>N</v>
          </cell>
          <cell r="P108" t="str">
            <v>N</v>
          </cell>
          <cell r="R108" t="b">
            <v>1</v>
          </cell>
        </row>
        <row r="109">
          <cell r="G109">
            <v>2</v>
          </cell>
          <cell r="O109" t="str">
            <v>N</v>
          </cell>
          <cell r="P109" t="str">
            <v>N</v>
          </cell>
          <cell r="R109" t="b">
            <v>1</v>
          </cell>
        </row>
        <row r="110">
          <cell r="G110">
            <v>1</v>
          </cell>
          <cell r="O110" t="str">
            <v>Y</v>
          </cell>
          <cell r="P110" t="str">
            <v>N</v>
          </cell>
          <cell r="R110" t="b">
            <v>0</v>
          </cell>
        </row>
        <row r="111">
          <cell r="G111">
            <v>1</v>
          </cell>
          <cell r="O111" t="str">
            <v>Y</v>
          </cell>
          <cell r="P111" t="str">
            <v>N</v>
          </cell>
          <cell r="R111" t="b">
            <v>1</v>
          </cell>
        </row>
        <row r="112">
          <cell r="G112">
            <v>2</v>
          </cell>
          <cell r="O112" t="str">
            <v>Y</v>
          </cell>
          <cell r="P112" t="str">
            <v>N</v>
          </cell>
          <cell r="R112" t="b">
            <v>1</v>
          </cell>
        </row>
        <row r="113">
          <cell r="G113">
            <v>2</v>
          </cell>
          <cell r="O113" t="str">
            <v>Y</v>
          </cell>
          <cell r="P113" t="str">
            <v>N</v>
          </cell>
          <cell r="R113" t="b">
            <v>1</v>
          </cell>
        </row>
        <row r="114">
          <cell r="G114">
            <v>1</v>
          </cell>
          <cell r="O114" t="str">
            <v>N</v>
          </cell>
          <cell r="P114" t="str">
            <v>Y</v>
          </cell>
          <cell r="R114" t="b">
            <v>0</v>
          </cell>
        </row>
        <row r="115">
          <cell r="G115">
            <v>2</v>
          </cell>
          <cell r="O115" t="str">
            <v>N</v>
          </cell>
          <cell r="P115" t="str">
            <v>Y</v>
          </cell>
          <cell r="R115" t="b">
            <v>1</v>
          </cell>
        </row>
        <row r="116">
          <cell r="G116">
            <v>2</v>
          </cell>
          <cell r="O116" t="str">
            <v>N</v>
          </cell>
          <cell r="P116" t="str">
            <v>Y</v>
          </cell>
          <cell r="R116" t="b">
            <v>1</v>
          </cell>
        </row>
        <row r="117">
          <cell r="G117">
            <v>2</v>
          </cell>
          <cell r="O117" t="str">
            <v>N</v>
          </cell>
          <cell r="P117" t="str">
            <v>Y</v>
          </cell>
          <cell r="R117" t="b">
            <v>1</v>
          </cell>
        </row>
        <row r="118">
          <cell r="G118">
            <v>2</v>
          </cell>
          <cell r="O118" t="str">
            <v>N</v>
          </cell>
          <cell r="P118" t="str">
            <v>Y</v>
          </cell>
          <cell r="R118" t="b">
            <v>1</v>
          </cell>
        </row>
        <row r="119">
          <cell r="G119">
            <v>1</v>
          </cell>
          <cell r="O119" t="str">
            <v>N</v>
          </cell>
          <cell r="P119" t="str">
            <v>Y</v>
          </cell>
          <cell r="R119" t="b">
            <v>0</v>
          </cell>
        </row>
        <row r="120">
          <cell r="G120">
            <v>1</v>
          </cell>
          <cell r="O120" t="str">
            <v>N</v>
          </cell>
          <cell r="P120" t="str">
            <v>Y</v>
          </cell>
          <cell r="R120" t="b">
            <v>1</v>
          </cell>
        </row>
        <row r="121">
          <cell r="G121">
            <v>2</v>
          </cell>
          <cell r="O121" t="str">
            <v>N</v>
          </cell>
          <cell r="P121" t="str">
            <v>Y</v>
          </cell>
          <cell r="R121" t="b">
            <v>1</v>
          </cell>
        </row>
        <row r="122">
          <cell r="G122">
            <v>2</v>
          </cell>
          <cell r="O122" t="str">
            <v>N</v>
          </cell>
          <cell r="P122" t="str">
            <v>Y</v>
          </cell>
          <cell r="R122" t="b">
            <v>1</v>
          </cell>
        </row>
        <row r="123">
          <cell r="G123">
            <v>1</v>
          </cell>
          <cell r="O123" t="str">
            <v>N</v>
          </cell>
          <cell r="P123" t="str">
            <v>Y</v>
          </cell>
          <cell r="R123" t="b">
            <v>0</v>
          </cell>
        </row>
        <row r="124">
          <cell r="G124">
            <v>2</v>
          </cell>
          <cell r="O124" t="str">
            <v>N</v>
          </cell>
          <cell r="P124" t="str">
            <v>Y</v>
          </cell>
          <cell r="R124" t="b">
            <v>1</v>
          </cell>
        </row>
        <row r="125">
          <cell r="G125">
            <v>2</v>
          </cell>
          <cell r="O125" t="str">
            <v>N</v>
          </cell>
          <cell r="P125" t="str">
            <v>Y</v>
          </cell>
          <cell r="R125" t="b">
            <v>1</v>
          </cell>
        </row>
        <row r="126">
          <cell r="G126">
            <v>2</v>
          </cell>
          <cell r="O126" t="str">
            <v>N</v>
          </cell>
          <cell r="P126" t="str">
            <v>Y</v>
          </cell>
          <cell r="R126" t="b">
            <v>1</v>
          </cell>
        </row>
        <row r="127">
          <cell r="G127">
            <v>1</v>
          </cell>
          <cell r="O127" t="str">
            <v>N</v>
          </cell>
          <cell r="P127" t="str">
            <v>N</v>
          </cell>
          <cell r="R127" t="b">
            <v>0</v>
          </cell>
        </row>
        <row r="128">
          <cell r="G128">
            <v>2</v>
          </cell>
          <cell r="O128" t="str">
            <v>N</v>
          </cell>
          <cell r="P128" t="str">
            <v>N</v>
          </cell>
          <cell r="R128" t="b">
            <v>1</v>
          </cell>
        </row>
        <row r="129">
          <cell r="G129">
            <v>2</v>
          </cell>
          <cell r="O129" t="str">
            <v>N</v>
          </cell>
          <cell r="P129" t="str">
            <v>N</v>
          </cell>
          <cell r="R129" t="b">
            <v>1</v>
          </cell>
        </row>
        <row r="130">
          <cell r="G130">
            <v>1</v>
          </cell>
          <cell r="O130" t="str">
            <v>N</v>
          </cell>
          <cell r="P130" t="str">
            <v>N</v>
          </cell>
          <cell r="R130" t="b">
            <v>0</v>
          </cell>
        </row>
        <row r="131">
          <cell r="G131">
            <v>2</v>
          </cell>
          <cell r="O131" t="str">
            <v>N</v>
          </cell>
          <cell r="P131" t="str">
            <v>N</v>
          </cell>
          <cell r="R131" t="b">
            <v>1</v>
          </cell>
        </row>
        <row r="132">
          <cell r="G132">
            <v>2</v>
          </cell>
          <cell r="O132" t="str">
            <v>N</v>
          </cell>
          <cell r="P132" t="str">
            <v>N</v>
          </cell>
          <cell r="R132" t="b">
            <v>1</v>
          </cell>
        </row>
        <row r="133">
          <cell r="G133">
            <v>1</v>
          </cell>
          <cell r="O133" t="str">
            <v>N</v>
          </cell>
          <cell r="P133" t="str">
            <v>Y</v>
          </cell>
          <cell r="R133" t="b">
            <v>0</v>
          </cell>
        </row>
        <row r="134">
          <cell r="G134">
            <v>2</v>
          </cell>
          <cell r="O134" t="str">
            <v>N</v>
          </cell>
          <cell r="P134" t="str">
            <v>Y</v>
          </cell>
          <cell r="R134" t="b">
            <v>1</v>
          </cell>
        </row>
        <row r="135">
          <cell r="G135">
            <v>2</v>
          </cell>
          <cell r="O135" t="str">
            <v>N</v>
          </cell>
          <cell r="P135" t="str">
            <v>Y</v>
          </cell>
          <cell r="R135" t="b">
            <v>1</v>
          </cell>
        </row>
        <row r="136">
          <cell r="G136">
            <v>1</v>
          </cell>
          <cell r="O136" t="str">
            <v>Y</v>
          </cell>
          <cell r="P136" t="str">
            <v>N</v>
          </cell>
          <cell r="R136" t="b">
            <v>0</v>
          </cell>
        </row>
        <row r="137">
          <cell r="G137">
            <v>2</v>
          </cell>
          <cell r="O137" t="str">
            <v>Y</v>
          </cell>
          <cell r="P137" t="str">
            <v>N</v>
          </cell>
          <cell r="R137" t="b">
            <v>1</v>
          </cell>
        </row>
        <row r="138">
          <cell r="G138">
            <v>1</v>
          </cell>
          <cell r="O138" t="str">
            <v>N</v>
          </cell>
          <cell r="P138" t="str">
            <v>Y</v>
          </cell>
          <cell r="R138" t="b">
            <v>0</v>
          </cell>
        </row>
        <row r="139">
          <cell r="G139">
            <v>1</v>
          </cell>
          <cell r="O139" t="str">
            <v>Y</v>
          </cell>
          <cell r="P139" t="str">
            <v>N</v>
          </cell>
          <cell r="R139" t="b">
            <v>0</v>
          </cell>
        </row>
        <row r="140">
          <cell r="G140">
            <v>1</v>
          </cell>
          <cell r="O140" t="str">
            <v>N</v>
          </cell>
          <cell r="P140" t="str">
            <v>N</v>
          </cell>
          <cell r="R140" t="b">
            <v>0</v>
          </cell>
        </row>
        <row r="141">
          <cell r="G141">
            <v>2</v>
          </cell>
          <cell r="O141" t="str">
            <v>N</v>
          </cell>
          <cell r="P141" t="str">
            <v>N</v>
          </cell>
          <cell r="R141" t="b">
            <v>1</v>
          </cell>
        </row>
        <row r="142">
          <cell r="G142">
            <v>2</v>
          </cell>
          <cell r="O142" t="str">
            <v>Y</v>
          </cell>
          <cell r="P142" t="str">
            <v>N</v>
          </cell>
          <cell r="R142" t="b">
            <v>0</v>
          </cell>
        </row>
        <row r="143">
          <cell r="G143">
            <v>1</v>
          </cell>
          <cell r="O143" t="str">
            <v>N</v>
          </cell>
          <cell r="P143" t="str">
            <v>Y</v>
          </cell>
          <cell r="R143" t="b">
            <v>0</v>
          </cell>
        </row>
        <row r="144">
          <cell r="G144">
            <v>2</v>
          </cell>
          <cell r="O144" t="str">
            <v>N</v>
          </cell>
          <cell r="P144" t="str">
            <v>Y</v>
          </cell>
          <cell r="R144" t="b">
            <v>1</v>
          </cell>
        </row>
        <row r="145">
          <cell r="G145">
            <v>2</v>
          </cell>
          <cell r="O145" t="str">
            <v>N</v>
          </cell>
          <cell r="P145" t="str">
            <v>Y</v>
          </cell>
          <cell r="R145" t="b">
            <v>1</v>
          </cell>
        </row>
        <row r="146">
          <cell r="G146">
            <v>2</v>
          </cell>
          <cell r="O146" t="str">
            <v>Y</v>
          </cell>
          <cell r="P146" t="str">
            <v>N</v>
          </cell>
          <cell r="R146" t="b">
            <v>0</v>
          </cell>
        </row>
        <row r="147">
          <cell r="G147">
            <v>1</v>
          </cell>
          <cell r="O147" t="str">
            <v>N</v>
          </cell>
          <cell r="P147" t="str">
            <v>N</v>
          </cell>
          <cell r="R147" t="b">
            <v>0</v>
          </cell>
        </row>
        <row r="148">
          <cell r="G148">
            <v>1</v>
          </cell>
          <cell r="O148" t="str">
            <v>N</v>
          </cell>
          <cell r="P148" t="str">
            <v>N</v>
          </cell>
          <cell r="R148" t="b">
            <v>1</v>
          </cell>
        </row>
        <row r="149">
          <cell r="G149">
            <v>2</v>
          </cell>
          <cell r="O149" t="str">
            <v>N</v>
          </cell>
          <cell r="P149" t="str">
            <v>N</v>
          </cell>
          <cell r="R149" t="b">
            <v>1</v>
          </cell>
        </row>
        <row r="150">
          <cell r="G150">
            <v>2</v>
          </cell>
          <cell r="O150" t="str">
            <v>N</v>
          </cell>
          <cell r="P150" t="str">
            <v>N</v>
          </cell>
          <cell r="R150" t="b">
            <v>1</v>
          </cell>
        </row>
        <row r="151">
          <cell r="G151">
            <v>1</v>
          </cell>
          <cell r="O151" t="str">
            <v>Y</v>
          </cell>
          <cell r="P151" t="str">
            <v>N</v>
          </cell>
          <cell r="R151" t="b">
            <v>0</v>
          </cell>
        </row>
        <row r="152">
          <cell r="G152">
            <v>1</v>
          </cell>
          <cell r="O152" t="str">
            <v>Y</v>
          </cell>
          <cell r="P152" t="str">
            <v>N</v>
          </cell>
          <cell r="R152" t="b">
            <v>1</v>
          </cell>
        </row>
        <row r="153">
          <cell r="G153">
            <v>2</v>
          </cell>
          <cell r="O153" t="str">
            <v>Y</v>
          </cell>
          <cell r="P153" t="str">
            <v>N</v>
          </cell>
          <cell r="R153" t="b">
            <v>1</v>
          </cell>
        </row>
        <row r="154">
          <cell r="G154">
            <v>2</v>
          </cell>
          <cell r="O154" t="str">
            <v>Y</v>
          </cell>
          <cell r="P154" t="str">
            <v>N</v>
          </cell>
          <cell r="R154" t="b">
            <v>1</v>
          </cell>
        </row>
        <row r="155">
          <cell r="G155">
            <v>2</v>
          </cell>
          <cell r="O155" t="str">
            <v>Y</v>
          </cell>
          <cell r="P155" t="str">
            <v>N</v>
          </cell>
          <cell r="R155" t="b">
            <v>1</v>
          </cell>
        </row>
        <row r="156">
          <cell r="G156">
            <v>2</v>
          </cell>
          <cell r="O156" t="str">
            <v>Y</v>
          </cell>
          <cell r="P156" t="str">
            <v>N</v>
          </cell>
          <cell r="R156" t="b">
            <v>1</v>
          </cell>
        </row>
        <row r="157">
          <cell r="G157">
            <v>2</v>
          </cell>
          <cell r="O157" t="str">
            <v>Y</v>
          </cell>
          <cell r="P157" t="str">
            <v>N</v>
          </cell>
          <cell r="R157" t="b">
            <v>0</v>
          </cell>
        </row>
        <row r="158">
          <cell r="G158">
            <v>2</v>
          </cell>
          <cell r="O158" t="str">
            <v>Y</v>
          </cell>
          <cell r="P158" t="str">
            <v>N</v>
          </cell>
          <cell r="R158" t="b">
            <v>1</v>
          </cell>
        </row>
        <row r="159">
          <cell r="G159">
            <v>2</v>
          </cell>
          <cell r="O159" t="str">
            <v>Y</v>
          </cell>
          <cell r="P159" t="str">
            <v>N</v>
          </cell>
          <cell r="R159" t="b">
            <v>0</v>
          </cell>
        </row>
        <row r="160">
          <cell r="G160">
            <v>1</v>
          </cell>
          <cell r="O160" t="str">
            <v>N</v>
          </cell>
          <cell r="P160" t="str">
            <v>Y</v>
          </cell>
          <cell r="R160" t="b">
            <v>0</v>
          </cell>
        </row>
        <row r="161">
          <cell r="G161">
            <v>2</v>
          </cell>
          <cell r="O161" t="str">
            <v>N</v>
          </cell>
          <cell r="P161" t="str">
            <v>Y</v>
          </cell>
          <cell r="R161" t="b">
            <v>1</v>
          </cell>
        </row>
        <row r="162">
          <cell r="G162">
            <v>2</v>
          </cell>
          <cell r="O162" t="str">
            <v>N</v>
          </cell>
          <cell r="P162" t="str">
            <v>Y</v>
          </cell>
          <cell r="R162" t="b">
            <v>1</v>
          </cell>
        </row>
        <row r="163">
          <cell r="G163">
            <v>1</v>
          </cell>
          <cell r="O163" t="str">
            <v>N</v>
          </cell>
          <cell r="P163" t="str">
            <v>N</v>
          </cell>
          <cell r="R163" t="b">
            <v>0</v>
          </cell>
        </row>
        <row r="164">
          <cell r="G164">
            <v>2</v>
          </cell>
          <cell r="O164" t="str">
            <v>N</v>
          </cell>
          <cell r="P164" t="str">
            <v>N</v>
          </cell>
          <cell r="R164" t="b">
            <v>1</v>
          </cell>
        </row>
        <row r="165">
          <cell r="G165">
            <v>2</v>
          </cell>
          <cell r="O165" t="str">
            <v>N</v>
          </cell>
          <cell r="P165" t="str">
            <v>N</v>
          </cell>
          <cell r="R165" t="b">
            <v>1</v>
          </cell>
        </row>
        <row r="166">
          <cell r="G166">
            <v>1</v>
          </cell>
          <cell r="O166" t="str">
            <v>Y</v>
          </cell>
          <cell r="P166" t="str">
            <v>N</v>
          </cell>
          <cell r="R166" t="b">
            <v>0</v>
          </cell>
        </row>
        <row r="167">
          <cell r="G167">
            <v>2</v>
          </cell>
          <cell r="O167" t="str">
            <v>Y</v>
          </cell>
          <cell r="P167" t="str">
            <v>N</v>
          </cell>
          <cell r="R167" t="b">
            <v>1</v>
          </cell>
        </row>
        <row r="168">
          <cell r="G168">
            <v>2</v>
          </cell>
          <cell r="O168" t="str">
            <v>Y</v>
          </cell>
          <cell r="P168" t="str">
            <v>N</v>
          </cell>
          <cell r="R168" t="b">
            <v>1</v>
          </cell>
        </row>
        <row r="169">
          <cell r="G169">
            <v>1</v>
          </cell>
          <cell r="O169" t="str">
            <v>N</v>
          </cell>
          <cell r="P169" t="str">
            <v>Y</v>
          </cell>
          <cell r="R169" t="b">
            <v>0</v>
          </cell>
        </row>
        <row r="170">
          <cell r="G170">
            <v>2</v>
          </cell>
          <cell r="O170" t="str">
            <v>Y</v>
          </cell>
          <cell r="P170" t="str">
            <v>N</v>
          </cell>
          <cell r="R170" t="b">
            <v>0</v>
          </cell>
        </row>
        <row r="171">
          <cell r="G171">
            <v>1</v>
          </cell>
          <cell r="O171" t="str">
            <v>N</v>
          </cell>
          <cell r="P171" t="str">
            <v>Y</v>
          </cell>
          <cell r="R171" t="b">
            <v>0</v>
          </cell>
        </row>
        <row r="172">
          <cell r="G172">
            <v>2</v>
          </cell>
          <cell r="O172" t="str">
            <v>N</v>
          </cell>
          <cell r="P172" t="str">
            <v>Y</v>
          </cell>
          <cell r="R172" t="b">
            <v>1</v>
          </cell>
        </row>
        <row r="173">
          <cell r="G173">
            <v>1</v>
          </cell>
          <cell r="O173" t="str">
            <v>N</v>
          </cell>
          <cell r="P173" t="str">
            <v>Y</v>
          </cell>
          <cell r="R173" t="b">
            <v>0</v>
          </cell>
        </row>
        <row r="174">
          <cell r="G174">
            <v>2</v>
          </cell>
          <cell r="O174" t="str">
            <v>N</v>
          </cell>
          <cell r="P174" t="str">
            <v>Y</v>
          </cell>
          <cell r="R174" t="b">
            <v>1</v>
          </cell>
        </row>
        <row r="175">
          <cell r="G175">
            <v>2</v>
          </cell>
          <cell r="O175" t="str">
            <v>N</v>
          </cell>
          <cell r="P175" t="str">
            <v>Y</v>
          </cell>
          <cell r="R175" t="b">
            <v>1</v>
          </cell>
        </row>
        <row r="176">
          <cell r="G176">
            <v>1</v>
          </cell>
          <cell r="O176" t="str">
            <v>N</v>
          </cell>
          <cell r="P176" t="str">
            <v>Y</v>
          </cell>
          <cell r="R176" t="b">
            <v>0</v>
          </cell>
        </row>
        <row r="177">
          <cell r="G177">
            <v>2</v>
          </cell>
          <cell r="O177" t="str">
            <v>N</v>
          </cell>
          <cell r="P177" t="str">
            <v>Y</v>
          </cell>
          <cell r="R177" t="b">
            <v>1</v>
          </cell>
        </row>
        <row r="178">
          <cell r="G178">
            <v>2</v>
          </cell>
          <cell r="O178" t="str">
            <v>N</v>
          </cell>
          <cell r="P178" t="str">
            <v>Y</v>
          </cell>
          <cell r="R178" t="b">
            <v>1</v>
          </cell>
        </row>
        <row r="179">
          <cell r="G179">
            <v>2</v>
          </cell>
          <cell r="O179" t="str">
            <v>Y</v>
          </cell>
          <cell r="P179" t="str">
            <v>N</v>
          </cell>
          <cell r="R179" t="b">
            <v>0</v>
          </cell>
        </row>
        <row r="180">
          <cell r="G180">
            <v>1</v>
          </cell>
          <cell r="O180" t="str">
            <v>Y</v>
          </cell>
          <cell r="P180" t="str">
            <v>N</v>
          </cell>
          <cell r="R180" t="b">
            <v>0</v>
          </cell>
        </row>
        <row r="181">
          <cell r="G181">
            <v>2</v>
          </cell>
          <cell r="O181" t="str">
            <v>Y</v>
          </cell>
          <cell r="P181" t="str">
            <v>N</v>
          </cell>
          <cell r="R181" t="b">
            <v>0</v>
          </cell>
        </row>
        <row r="182">
          <cell r="G182">
            <v>2</v>
          </cell>
          <cell r="O182" t="str">
            <v>Y</v>
          </cell>
          <cell r="P182" t="str">
            <v>N</v>
          </cell>
          <cell r="R182" t="b">
            <v>1</v>
          </cell>
        </row>
        <row r="183">
          <cell r="G183">
            <v>2</v>
          </cell>
          <cell r="O183" t="str">
            <v>Y</v>
          </cell>
          <cell r="P183" t="str">
            <v>N</v>
          </cell>
          <cell r="R183" t="b">
            <v>1</v>
          </cell>
        </row>
        <row r="184">
          <cell r="G184">
            <v>1</v>
          </cell>
          <cell r="O184" t="str">
            <v>N</v>
          </cell>
          <cell r="P184" t="str">
            <v>Y</v>
          </cell>
          <cell r="R184" t="b">
            <v>0</v>
          </cell>
        </row>
        <row r="185">
          <cell r="G185">
            <v>2</v>
          </cell>
          <cell r="O185" t="str">
            <v>Y</v>
          </cell>
          <cell r="P185" t="str">
            <v>N</v>
          </cell>
          <cell r="R185" t="b">
            <v>0</v>
          </cell>
        </row>
        <row r="186">
          <cell r="G186">
            <v>2</v>
          </cell>
          <cell r="O186" t="str">
            <v>Y</v>
          </cell>
          <cell r="P186" t="str">
            <v>N</v>
          </cell>
          <cell r="R186" t="b">
            <v>0</v>
          </cell>
        </row>
        <row r="187">
          <cell r="G187">
            <v>2</v>
          </cell>
          <cell r="O187" t="str">
            <v>Y</v>
          </cell>
          <cell r="P187" t="str">
            <v>N</v>
          </cell>
          <cell r="R187" t="b">
            <v>1</v>
          </cell>
        </row>
        <row r="188">
          <cell r="G188">
            <v>2</v>
          </cell>
          <cell r="O188" t="str">
            <v>N</v>
          </cell>
          <cell r="P188" t="str">
            <v>Y</v>
          </cell>
          <cell r="R188" t="b">
            <v>0</v>
          </cell>
        </row>
        <row r="189">
          <cell r="G189">
            <v>2</v>
          </cell>
          <cell r="O189" t="str">
            <v>N</v>
          </cell>
          <cell r="P189" t="str">
            <v>Y</v>
          </cell>
          <cell r="R189" t="b">
            <v>1</v>
          </cell>
        </row>
        <row r="190">
          <cell r="G190">
            <v>2</v>
          </cell>
          <cell r="O190" t="str">
            <v>Y</v>
          </cell>
          <cell r="P190" t="str">
            <v>N</v>
          </cell>
          <cell r="R190" t="b">
            <v>0</v>
          </cell>
        </row>
        <row r="191">
          <cell r="G191">
            <v>1</v>
          </cell>
          <cell r="O191" t="str">
            <v>N</v>
          </cell>
          <cell r="P191" t="str">
            <v>N</v>
          </cell>
          <cell r="R191" t="b">
            <v>0</v>
          </cell>
        </row>
        <row r="192">
          <cell r="G192">
            <v>2</v>
          </cell>
          <cell r="O192" t="str">
            <v>N</v>
          </cell>
          <cell r="P192" t="str">
            <v>N</v>
          </cell>
          <cell r="R192" t="b">
            <v>1</v>
          </cell>
        </row>
        <row r="193">
          <cell r="G193">
            <v>2</v>
          </cell>
          <cell r="O193" t="str">
            <v>N</v>
          </cell>
          <cell r="P193" t="str">
            <v>N</v>
          </cell>
          <cell r="R193" t="b">
            <v>1</v>
          </cell>
        </row>
        <row r="194">
          <cell r="G194">
            <v>1</v>
          </cell>
          <cell r="O194" t="str">
            <v>N</v>
          </cell>
          <cell r="P194" t="str">
            <v>N</v>
          </cell>
          <cell r="R194" t="b">
            <v>0</v>
          </cell>
        </row>
        <row r="195">
          <cell r="G195">
            <v>2</v>
          </cell>
          <cell r="O195" t="str">
            <v>N</v>
          </cell>
          <cell r="P195" t="str">
            <v>N</v>
          </cell>
          <cell r="R195" t="b">
            <v>1</v>
          </cell>
        </row>
        <row r="196">
          <cell r="G196">
            <v>2</v>
          </cell>
          <cell r="O196" t="str">
            <v>N</v>
          </cell>
          <cell r="P196" t="str">
            <v>N</v>
          </cell>
          <cell r="R196" t="b">
            <v>1</v>
          </cell>
        </row>
        <row r="197">
          <cell r="G197">
            <v>2</v>
          </cell>
          <cell r="O197" t="str">
            <v>N</v>
          </cell>
          <cell r="P197" t="str">
            <v>N</v>
          </cell>
          <cell r="R197" t="b">
            <v>1</v>
          </cell>
        </row>
        <row r="198">
          <cell r="G198">
            <v>2</v>
          </cell>
          <cell r="O198" t="str">
            <v>N</v>
          </cell>
          <cell r="P198" t="str">
            <v>Y</v>
          </cell>
          <cell r="R198" t="b">
            <v>0</v>
          </cell>
        </row>
        <row r="199">
          <cell r="G199">
            <v>1</v>
          </cell>
          <cell r="O199" t="str">
            <v>N</v>
          </cell>
          <cell r="P199" t="str">
            <v>Y</v>
          </cell>
          <cell r="R199" t="b">
            <v>0</v>
          </cell>
        </row>
        <row r="200">
          <cell r="G200">
            <v>2</v>
          </cell>
          <cell r="O200" t="str">
            <v>N</v>
          </cell>
          <cell r="P200" t="str">
            <v>Y</v>
          </cell>
          <cell r="R200" t="b">
            <v>1</v>
          </cell>
        </row>
        <row r="201">
          <cell r="G201">
            <v>2</v>
          </cell>
          <cell r="O201" t="str">
            <v>N</v>
          </cell>
          <cell r="P201" t="str">
            <v>Y</v>
          </cell>
          <cell r="R201" t="b">
            <v>1</v>
          </cell>
        </row>
        <row r="202">
          <cell r="G202">
            <v>2</v>
          </cell>
          <cell r="O202" t="str">
            <v>N</v>
          </cell>
          <cell r="P202" t="str">
            <v>Y</v>
          </cell>
          <cell r="R202" t="b">
            <v>1</v>
          </cell>
        </row>
        <row r="203">
          <cell r="G203">
            <v>2</v>
          </cell>
          <cell r="O203" t="str">
            <v>N</v>
          </cell>
          <cell r="P203" t="str">
            <v>Y</v>
          </cell>
          <cell r="R203" t="b">
            <v>1</v>
          </cell>
        </row>
        <row r="204">
          <cell r="G204">
            <v>1</v>
          </cell>
          <cell r="O204" t="str">
            <v>N</v>
          </cell>
          <cell r="P204" t="str">
            <v>Y</v>
          </cell>
          <cell r="R204" t="b">
            <v>0</v>
          </cell>
        </row>
        <row r="205">
          <cell r="G205">
            <v>2</v>
          </cell>
          <cell r="O205" t="str">
            <v>N</v>
          </cell>
          <cell r="P205" t="str">
            <v>Y</v>
          </cell>
          <cell r="R205" t="b">
            <v>1</v>
          </cell>
        </row>
        <row r="206">
          <cell r="G206">
            <v>2</v>
          </cell>
          <cell r="O206" t="str">
            <v>N</v>
          </cell>
          <cell r="P206" t="str">
            <v>Y</v>
          </cell>
          <cell r="R206" t="b">
            <v>1</v>
          </cell>
        </row>
        <row r="207">
          <cell r="G207">
            <v>1</v>
          </cell>
          <cell r="O207" t="str">
            <v>Y</v>
          </cell>
          <cell r="P207" t="str">
            <v>N</v>
          </cell>
          <cell r="R207" t="b">
            <v>0</v>
          </cell>
        </row>
        <row r="208">
          <cell r="G208">
            <v>2</v>
          </cell>
          <cell r="O208" t="str">
            <v>Y</v>
          </cell>
          <cell r="P208" t="str">
            <v>N</v>
          </cell>
          <cell r="R208" t="b">
            <v>1</v>
          </cell>
        </row>
        <row r="209">
          <cell r="G209">
            <v>2</v>
          </cell>
          <cell r="O209" t="str">
            <v>Y</v>
          </cell>
          <cell r="P209" t="str">
            <v>N</v>
          </cell>
          <cell r="R209" t="b">
            <v>1</v>
          </cell>
        </row>
        <row r="210">
          <cell r="G210">
            <v>2</v>
          </cell>
          <cell r="O210" t="str">
            <v>Y</v>
          </cell>
          <cell r="P210" t="str">
            <v>N</v>
          </cell>
          <cell r="R210" t="b">
            <v>1</v>
          </cell>
        </row>
        <row r="211">
          <cell r="G211">
            <v>1</v>
          </cell>
          <cell r="O211" t="str">
            <v>N</v>
          </cell>
          <cell r="P211" t="str">
            <v>Y</v>
          </cell>
          <cell r="R211" t="b">
            <v>0</v>
          </cell>
        </row>
        <row r="212">
          <cell r="G212">
            <v>2</v>
          </cell>
          <cell r="O212" t="str">
            <v>N</v>
          </cell>
          <cell r="P212" t="str">
            <v>Y</v>
          </cell>
          <cell r="R212" t="b">
            <v>1</v>
          </cell>
        </row>
        <row r="213">
          <cell r="G213">
            <v>2</v>
          </cell>
          <cell r="O213" t="str">
            <v>N</v>
          </cell>
          <cell r="P213" t="str">
            <v>Y</v>
          </cell>
          <cell r="R213" t="b">
            <v>1</v>
          </cell>
        </row>
        <row r="214">
          <cell r="G214">
            <v>2</v>
          </cell>
          <cell r="O214" t="str">
            <v>N</v>
          </cell>
          <cell r="P214" t="str">
            <v>Y</v>
          </cell>
          <cell r="R214" t="b">
            <v>1</v>
          </cell>
        </row>
        <row r="215">
          <cell r="G215">
            <v>2</v>
          </cell>
          <cell r="O215" t="str">
            <v>Y</v>
          </cell>
          <cell r="P215" t="str">
            <v>N</v>
          </cell>
          <cell r="R215" t="b">
            <v>0</v>
          </cell>
        </row>
        <row r="216">
          <cell r="G216">
            <v>2</v>
          </cell>
          <cell r="O216" t="str">
            <v>N</v>
          </cell>
          <cell r="P216" t="str">
            <v>Y</v>
          </cell>
          <cell r="R216" t="b">
            <v>0</v>
          </cell>
        </row>
        <row r="217">
          <cell r="G217">
            <v>1</v>
          </cell>
          <cell r="O217" t="str">
            <v>Y</v>
          </cell>
          <cell r="P217" t="str">
            <v>N</v>
          </cell>
          <cell r="R217" t="b">
            <v>0</v>
          </cell>
        </row>
        <row r="218">
          <cell r="G218">
            <v>2</v>
          </cell>
          <cell r="O218" t="str">
            <v>Y</v>
          </cell>
          <cell r="P218" t="str">
            <v>N</v>
          </cell>
          <cell r="R218" t="b">
            <v>1</v>
          </cell>
        </row>
        <row r="219">
          <cell r="G219">
            <v>2</v>
          </cell>
          <cell r="O219" t="str">
            <v>Y</v>
          </cell>
          <cell r="P219" t="str">
            <v>N</v>
          </cell>
          <cell r="R219" t="b">
            <v>1</v>
          </cell>
        </row>
        <row r="220">
          <cell r="G220">
            <v>2</v>
          </cell>
          <cell r="O220" t="str">
            <v>Y</v>
          </cell>
          <cell r="P220" t="str">
            <v>N</v>
          </cell>
          <cell r="R220" t="b">
            <v>0</v>
          </cell>
        </row>
        <row r="221">
          <cell r="G221">
            <v>1</v>
          </cell>
          <cell r="O221" t="str">
            <v>Y</v>
          </cell>
          <cell r="P221" t="str">
            <v>N</v>
          </cell>
          <cell r="R221" t="b">
            <v>0</v>
          </cell>
        </row>
        <row r="222">
          <cell r="G222">
            <v>1</v>
          </cell>
          <cell r="O222" t="str">
            <v>N</v>
          </cell>
          <cell r="P222" t="str">
            <v>Y</v>
          </cell>
          <cell r="R222" t="b">
            <v>0</v>
          </cell>
        </row>
        <row r="223">
          <cell r="G223">
            <v>2</v>
          </cell>
          <cell r="O223" t="str">
            <v>Y</v>
          </cell>
          <cell r="P223" t="str">
            <v>N</v>
          </cell>
          <cell r="R223" t="b">
            <v>0</v>
          </cell>
        </row>
        <row r="224">
          <cell r="G224">
            <v>1</v>
          </cell>
          <cell r="O224" t="str">
            <v>N</v>
          </cell>
          <cell r="P224" t="str">
            <v>Y</v>
          </cell>
          <cell r="R224" t="b">
            <v>0</v>
          </cell>
        </row>
        <row r="225">
          <cell r="G225">
            <v>2</v>
          </cell>
          <cell r="O225" t="str">
            <v>N</v>
          </cell>
          <cell r="P225" t="str">
            <v>Y</v>
          </cell>
          <cell r="R225" t="b">
            <v>1</v>
          </cell>
        </row>
        <row r="226">
          <cell r="G226">
            <v>1</v>
          </cell>
          <cell r="O226" t="str">
            <v>Y</v>
          </cell>
          <cell r="P226" t="str">
            <v>N</v>
          </cell>
          <cell r="R226" t="b">
            <v>0</v>
          </cell>
        </row>
        <row r="227">
          <cell r="G227">
            <v>2</v>
          </cell>
          <cell r="O227" t="str">
            <v>Y</v>
          </cell>
          <cell r="P227" t="str">
            <v>N</v>
          </cell>
          <cell r="R227" t="b">
            <v>1</v>
          </cell>
        </row>
        <row r="228">
          <cell r="G228">
            <v>2</v>
          </cell>
          <cell r="O228" t="str">
            <v>Y</v>
          </cell>
          <cell r="P228" t="str">
            <v>N</v>
          </cell>
          <cell r="R228" t="b">
            <v>1</v>
          </cell>
        </row>
        <row r="229">
          <cell r="G229">
            <v>2</v>
          </cell>
          <cell r="O229" t="str">
            <v>N</v>
          </cell>
          <cell r="P229" t="str">
            <v>Y</v>
          </cell>
          <cell r="R229" t="b">
            <v>0</v>
          </cell>
        </row>
        <row r="230">
          <cell r="G230">
            <v>1</v>
          </cell>
          <cell r="O230" t="str">
            <v>N</v>
          </cell>
          <cell r="P230" t="str">
            <v>Y</v>
          </cell>
          <cell r="R230" t="b">
            <v>0</v>
          </cell>
        </row>
        <row r="231">
          <cell r="G231">
            <v>2</v>
          </cell>
          <cell r="O231" t="str">
            <v>N</v>
          </cell>
          <cell r="P231" t="str">
            <v>Y</v>
          </cell>
          <cell r="R231" t="b">
            <v>1</v>
          </cell>
        </row>
        <row r="232">
          <cell r="G232">
            <v>2</v>
          </cell>
          <cell r="O232" t="str">
            <v>N</v>
          </cell>
          <cell r="P232" t="str">
            <v>Y</v>
          </cell>
          <cell r="R232" t="b">
            <v>1</v>
          </cell>
        </row>
        <row r="233">
          <cell r="G233">
            <v>2</v>
          </cell>
          <cell r="O233" t="str">
            <v>N</v>
          </cell>
          <cell r="P233" t="str">
            <v>Y</v>
          </cell>
          <cell r="R233" t="b">
            <v>0</v>
          </cell>
        </row>
        <row r="234">
          <cell r="G234">
            <v>2</v>
          </cell>
          <cell r="O234" t="str">
            <v>N</v>
          </cell>
          <cell r="P234" t="str">
            <v>Y</v>
          </cell>
          <cell r="R234" t="b">
            <v>0</v>
          </cell>
        </row>
        <row r="235">
          <cell r="G235">
            <v>1</v>
          </cell>
          <cell r="O235" t="str">
            <v>Y</v>
          </cell>
          <cell r="P235" t="str">
            <v>N</v>
          </cell>
          <cell r="R235" t="b">
            <v>0</v>
          </cell>
        </row>
        <row r="236">
          <cell r="G236">
            <v>1</v>
          </cell>
          <cell r="O236" t="str">
            <v>Y</v>
          </cell>
          <cell r="P236" t="str">
            <v>N</v>
          </cell>
          <cell r="R236" t="b">
            <v>1</v>
          </cell>
        </row>
        <row r="237">
          <cell r="G237">
            <v>2</v>
          </cell>
          <cell r="O237" t="str">
            <v>Y</v>
          </cell>
          <cell r="P237" t="str">
            <v>N</v>
          </cell>
          <cell r="R237" t="b">
            <v>1</v>
          </cell>
        </row>
        <row r="238">
          <cell r="G238">
            <v>2</v>
          </cell>
          <cell r="O238" t="str">
            <v>Y</v>
          </cell>
          <cell r="P238" t="str">
            <v>N</v>
          </cell>
          <cell r="R238" t="b">
            <v>1</v>
          </cell>
        </row>
        <row r="239">
          <cell r="G239">
            <v>2</v>
          </cell>
          <cell r="O239" t="str">
            <v>Y</v>
          </cell>
          <cell r="P239" t="str">
            <v>N</v>
          </cell>
          <cell r="R239" t="b">
            <v>0</v>
          </cell>
        </row>
        <row r="240">
          <cell r="G240">
            <v>1</v>
          </cell>
          <cell r="O240" t="str">
            <v>N</v>
          </cell>
          <cell r="P240" t="str">
            <v>Y</v>
          </cell>
          <cell r="R240" t="b">
            <v>0</v>
          </cell>
        </row>
        <row r="241">
          <cell r="G241">
            <v>2</v>
          </cell>
          <cell r="O241" t="str">
            <v>N</v>
          </cell>
          <cell r="P241" t="str">
            <v>Y</v>
          </cell>
          <cell r="R241" t="b">
            <v>1</v>
          </cell>
        </row>
        <row r="242">
          <cell r="G242">
            <v>2</v>
          </cell>
          <cell r="O242" t="str">
            <v>N</v>
          </cell>
          <cell r="P242" t="str">
            <v>Y</v>
          </cell>
          <cell r="R242" t="b">
            <v>1</v>
          </cell>
        </row>
        <row r="243">
          <cell r="G243">
            <v>2</v>
          </cell>
          <cell r="O243" t="str">
            <v>N</v>
          </cell>
          <cell r="P243" t="str">
            <v>Y</v>
          </cell>
          <cell r="R243" t="b">
            <v>1</v>
          </cell>
        </row>
        <row r="244">
          <cell r="G244">
            <v>2</v>
          </cell>
          <cell r="O244" t="str">
            <v>Y</v>
          </cell>
          <cell r="P244" t="str">
            <v>N</v>
          </cell>
          <cell r="R244" t="b">
            <v>0</v>
          </cell>
        </row>
        <row r="245">
          <cell r="G245">
            <v>1</v>
          </cell>
          <cell r="O245" t="str">
            <v>Y</v>
          </cell>
          <cell r="P245" t="str">
            <v>N</v>
          </cell>
          <cell r="R245" t="b">
            <v>0</v>
          </cell>
        </row>
        <row r="246">
          <cell r="G246">
            <v>2</v>
          </cell>
          <cell r="O246" t="str">
            <v>Y</v>
          </cell>
          <cell r="P246" t="str">
            <v>N</v>
          </cell>
          <cell r="R246" t="b">
            <v>1</v>
          </cell>
        </row>
        <row r="247">
          <cell r="G247">
            <v>2</v>
          </cell>
          <cell r="O247" t="str">
            <v>Y</v>
          </cell>
          <cell r="P247" t="str">
            <v>N</v>
          </cell>
          <cell r="R247" t="b">
            <v>1</v>
          </cell>
        </row>
        <row r="248">
          <cell r="G248">
            <v>1</v>
          </cell>
          <cell r="O248" t="str">
            <v>Y</v>
          </cell>
          <cell r="P248" t="str">
            <v>N</v>
          </cell>
          <cell r="R248" t="b">
            <v>0</v>
          </cell>
        </row>
        <row r="249">
          <cell r="G249">
            <v>2</v>
          </cell>
          <cell r="O249" t="str">
            <v>Y</v>
          </cell>
          <cell r="P249" t="str">
            <v>N</v>
          </cell>
          <cell r="R249" t="b">
            <v>1</v>
          </cell>
        </row>
        <row r="250">
          <cell r="G250">
            <v>2</v>
          </cell>
          <cell r="O250" t="str">
            <v>Y</v>
          </cell>
          <cell r="P250" t="str">
            <v>N</v>
          </cell>
          <cell r="R250" t="b">
            <v>1</v>
          </cell>
        </row>
        <row r="251">
          <cell r="G251">
            <v>2</v>
          </cell>
          <cell r="O251" t="str">
            <v>Y</v>
          </cell>
          <cell r="P251" t="str">
            <v>N</v>
          </cell>
          <cell r="R251" t="b">
            <v>0</v>
          </cell>
        </row>
        <row r="252">
          <cell r="G252">
            <v>2</v>
          </cell>
          <cell r="O252" t="str">
            <v>Y</v>
          </cell>
          <cell r="P252" t="str">
            <v>N</v>
          </cell>
          <cell r="R252" t="b">
            <v>0</v>
          </cell>
        </row>
        <row r="253">
          <cell r="G253">
            <v>1</v>
          </cell>
          <cell r="O253" t="str">
            <v>Y</v>
          </cell>
          <cell r="P253" t="str">
            <v>N</v>
          </cell>
          <cell r="R253" t="b">
            <v>0</v>
          </cell>
        </row>
        <row r="254">
          <cell r="G254">
            <v>1</v>
          </cell>
          <cell r="O254" t="str">
            <v>N</v>
          </cell>
          <cell r="P254" t="str">
            <v>Y</v>
          </cell>
          <cell r="R254" t="b">
            <v>0</v>
          </cell>
        </row>
        <row r="255">
          <cell r="G255">
            <v>1</v>
          </cell>
          <cell r="O255" t="str">
            <v>N</v>
          </cell>
          <cell r="P255" t="str">
            <v>Y</v>
          </cell>
          <cell r="R255" t="b">
            <v>1</v>
          </cell>
        </row>
        <row r="256">
          <cell r="G256">
            <v>2</v>
          </cell>
          <cell r="O256" t="str">
            <v>N</v>
          </cell>
          <cell r="P256" t="str">
            <v>Y</v>
          </cell>
          <cell r="R256" t="b">
            <v>1</v>
          </cell>
        </row>
        <row r="257">
          <cell r="G257">
            <v>2</v>
          </cell>
          <cell r="O257" t="str">
            <v>N</v>
          </cell>
          <cell r="P257" t="str">
            <v>Y</v>
          </cell>
          <cell r="R257" t="b">
            <v>1</v>
          </cell>
        </row>
        <row r="258">
          <cell r="G258">
            <v>1</v>
          </cell>
          <cell r="O258" t="str">
            <v>N</v>
          </cell>
          <cell r="P258" t="str">
            <v>Y</v>
          </cell>
          <cell r="R258" t="b">
            <v>0</v>
          </cell>
        </row>
        <row r="259">
          <cell r="G259">
            <v>1</v>
          </cell>
          <cell r="O259" t="str">
            <v>N</v>
          </cell>
          <cell r="P259" t="str">
            <v>Y</v>
          </cell>
          <cell r="R259" t="b">
            <v>0</v>
          </cell>
        </row>
        <row r="260">
          <cell r="G260">
            <v>1</v>
          </cell>
          <cell r="O260" t="str">
            <v>N</v>
          </cell>
          <cell r="P260" t="str">
            <v>Y</v>
          </cell>
          <cell r="R260" t="b">
            <v>1</v>
          </cell>
        </row>
        <row r="261">
          <cell r="G261">
            <v>2</v>
          </cell>
          <cell r="O261" t="str">
            <v>N</v>
          </cell>
          <cell r="P261" t="str">
            <v>Y</v>
          </cell>
          <cell r="R261" t="b">
            <v>1</v>
          </cell>
        </row>
        <row r="262">
          <cell r="G262">
            <v>2</v>
          </cell>
          <cell r="O262" t="str">
            <v>N</v>
          </cell>
          <cell r="P262" t="str">
            <v>Y</v>
          </cell>
          <cell r="R262" t="b">
            <v>1</v>
          </cell>
        </row>
        <row r="263">
          <cell r="G263">
            <v>2</v>
          </cell>
          <cell r="O263" t="str">
            <v>N</v>
          </cell>
          <cell r="P263" t="str">
            <v>Y</v>
          </cell>
          <cell r="R263" t="b">
            <v>1</v>
          </cell>
        </row>
        <row r="264">
          <cell r="G264">
            <v>1</v>
          </cell>
          <cell r="O264" t="str">
            <v>N</v>
          </cell>
          <cell r="P264" t="str">
            <v>Y</v>
          </cell>
          <cell r="R264" t="b">
            <v>0</v>
          </cell>
        </row>
        <row r="265">
          <cell r="G265">
            <v>1</v>
          </cell>
          <cell r="O265" t="str">
            <v>Y</v>
          </cell>
          <cell r="P265" t="str">
            <v>N</v>
          </cell>
          <cell r="R265" t="b">
            <v>0</v>
          </cell>
        </row>
        <row r="266">
          <cell r="G266">
            <v>2</v>
          </cell>
          <cell r="O266" t="str">
            <v>Y</v>
          </cell>
          <cell r="P266" t="str">
            <v>N</v>
          </cell>
          <cell r="R266" t="b">
            <v>1</v>
          </cell>
        </row>
        <row r="267">
          <cell r="G267">
            <v>2</v>
          </cell>
          <cell r="O267" t="str">
            <v>Y</v>
          </cell>
          <cell r="P267" t="str">
            <v>N</v>
          </cell>
          <cell r="R267" t="b">
            <v>1</v>
          </cell>
        </row>
        <row r="268">
          <cell r="G268">
            <v>2</v>
          </cell>
          <cell r="O268" t="str">
            <v>Y</v>
          </cell>
          <cell r="P268" t="str">
            <v>N</v>
          </cell>
          <cell r="R268" t="b">
            <v>1</v>
          </cell>
        </row>
        <row r="269">
          <cell r="G269">
            <v>2</v>
          </cell>
          <cell r="O269" t="str">
            <v>Y</v>
          </cell>
          <cell r="P269" t="str">
            <v>N</v>
          </cell>
          <cell r="R269" t="b">
            <v>0</v>
          </cell>
        </row>
        <row r="270">
          <cell r="G270">
            <v>2</v>
          </cell>
          <cell r="O270" t="str">
            <v>Y</v>
          </cell>
          <cell r="P270" t="str">
            <v>N</v>
          </cell>
          <cell r="R270" t="b">
            <v>1</v>
          </cell>
        </row>
        <row r="271">
          <cell r="G271">
            <v>2</v>
          </cell>
          <cell r="O271" t="str">
            <v>Y</v>
          </cell>
          <cell r="P271" t="str">
            <v>N</v>
          </cell>
          <cell r="R271" t="b">
            <v>0</v>
          </cell>
        </row>
        <row r="272">
          <cell r="G272">
            <v>2</v>
          </cell>
          <cell r="O272" t="str">
            <v>N</v>
          </cell>
          <cell r="P272" t="str">
            <v>Y</v>
          </cell>
          <cell r="R272" t="b">
            <v>0</v>
          </cell>
        </row>
        <row r="273">
          <cell r="G273">
            <v>1</v>
          </cell>
          <cell r="O273" t="str">
            <v>Y</v>
          </cell>
          <cell r="P273" t="str">
            <v>N</v>
          </cell>
          <cell r="R273" t="b">
            <v>0</v>
          </cell>
        </row>
        <row r="274">
          <cell r="G274">
            <v>1</v>
          </cell>
          <cell r="O274" t="str">
            <v>Y</v>
          </cell>
          <cell r="P274" t="str">
            <v>N</v>
          </cell>
          <cell r="R274" t="b">
            <v>0</v>
          </cell>
        </row>
        <row r="275">
          <cell r="G275">
            <v>1</v>
          </cell>
          <cell r="O275" t="str">
            <v>Y</v>
          </cell>
          <cell r="P275" t="str">
            <v>N</v>
          </cell>
          <cell r="R275" t="b">
            <v>1</v>
          </cell>
        </row>
        <row r="276">
          <cell r="G276">
            <v>1</v>
          </cell>
          <cell r="O276" t="str">
            <v>Y</v>
          </cell>
          <cell r="P276" t="str">
            <v>N</v>
          </cell>
          <cell r="R276" t="b">
            <v>1</v>
          </cell>
        </row>
        <row r="277">
          <cell r="G277">
            <v>2</v>
          </cell>
          <cell r="O277" t="str">
            <v>Y</v>
          </cell>
          <cell r="P277" t="str">
            <v>N</v>
          </cell>
          <cell r="R277" t="b">
            <v>1</v>
          </cell>
        </row>
        <row r="278">
          <cell r="G278">
            <v>1</v>
          </cell>
          <cell r="O278" t="str">
            <v>Y</v>
          </cell>
          <cell r="P278" t="str">
            <v>N</v>
          </cell>
          <cell r="R278" t="b">
            <v>0</v>
          </cell>
        </row>
        <row r="279">
          <cell r="G279">
            <v>2</v>
          </cell>
          <cell r="O279" t="str">
            <v>Y</v>
          </cell>
          <cell r="P279" t="str">
            <v>N</v>
          </cell>
          <cell r="R279" t="b">
            <v>1</v>
          </cell>
        </row>
        <row r="280">
          <cell r="G280">
            <v>2</v>
          </cell>
          <cell r="O280" t="str">
            <v>Y</v>
          </cell>
          <cell r="P280" t="str">
            <v>N</v>
          </cell>
          <cell r="R280" t="b">
            <v>1</v>
          </cell>
        </row>
        <row r="281">
          <cell r="G281">
            <v>2</v>
          </cell>
          <cell r="O281" t="str">
            <v>N</v>
          </cell>
          <cell r="P281" t="str">
            <v>Y</v>
          </cell>
          <cell r="R281" t="b">
            <v>0</v>
          </cell>
        </row>
        <row r="282">
          <cell r="G282">
            <v>2</v>
          </cell>
          <cell r="O282" t="str">
            <v>N</v>
          </cell>
          <cell r="P282" t="str">
            <v>Y</v>
          </cell>
          <cell r="R282" t="b">
            <v>0</v>
          </cell>
        </row>
        <row r="283">
          <cell r="G283">
            <v>2</v>
          </cell>
          <cell r="O283" t="str">
            <v>Y</v>
          </cell>
          <cell r="P283" t="str">
            <v>N</v>
          </cell>
          <cell r="R283" t="b">
            <v>0</v>
          </cell>
        </row>
        <row r="284">
          <cell r="G284">
            <v>1</v>
          </cell>
          <cell r="O284" t="str">
            <v>Y</v>
          </cell>
          <cell r="P284" t="str">
            <v>N</v>
          </cell>
          <cell r="R284" t="b">
            <v>0</v>
          </cell>
        </row>
        <row r="285">
          <cell r="G285">
            <v>2</v>
          </cell>
          <cell r="O285" t="str">
            <v>Y</v>
          </cell>
          <cell r="P285" t="str">
            <v>N</v>
          </cell>
          <cell r="R285" t="b">
            <v>1</v>
          </cell>
        </row>
        <row r="286">
          <cell r="G286">
            <v>2</v>
          </cell>
          <cell r="O286" t="str">
            <v>Y</v>
          </cell>
          <cell r="P286" t="str">
            <v>N</v>
          </cell>
          <cell r="R286" t="b">
            <v>1</v>
          </cell>
        </row>
        <row r="287">
          <cell r="G287">
            <v>2</v>
          </cell>
          <cell r="O287" t="str">
            <v>Y</v>
          </cell>
          <cell r="P287" t="str">
            <v>N</v>
          </cell>
          <cell r="R287" t="b">
            <v>1</v>
          </cell>
        </row>
        <row r="288">
          <cell r="G288">
            <v>2</v>
          </cell>
          <cell r="O288" t="str">
            <v>Y</v>
          </cell>
          <cell r="P288" t="str">
            <v>N</v>
          </cell>
          <cell r="R288" t="b">
            <v>1</v>
          </cell>
        </row>
        <row r="289">
          <cell r="G289">
            <v>1</v>
          </cell>
          <cell r="O289" t="str">
            <v>N</v>
          </cell>
          <cell r="P289" t="str">
            <v>Y</v>
          </cell>
          <cell r="R289" t="b">
            <v>0</v>
          </cell>
        </row>
        <row r="290">
          <cell r="G290">
            <v>1</v>
          </cell>
          <cell r="O290" t="str">
            <v>Y</v>
          </cell>
          <cell r="P290" t="str">
            <v>N</v>
          </cell>
          <cell r="R290" t="b">
            <v>0</v>
          </cell>
        </row>
        <row r="291">
          <cell r="G291">
            <v>2</v>
          </cell>
          <cell r="O291" t="str">
            <v>Y</v>
          </cell>
          <cell r="P291" t="str">
            <v>N</v>
          </cell>
          <cell r="R291" t="b">
            <v>1</v>
          </cell>
        </row>
        <row r="292">
          <cell r="G292">
            <v>2</v>
          </cell>
          <cell r="O292" t="str">
            <v>Y</v>
          </cell>
          <cell r="P292" t="str">
            <v>N</v>
          </cell>
          <cell r="R292" t="b">
            <v>1</v>
          </cell>
        </row>
        <row r="293">
          <cell r="G293">
            <v>2</v>
          </cell>
          <cell r="O293" t="str">
            <v>Y</v>
          </cell>
          <cell r="P293" t="str">
            <v>N</v>
          </cell>
          <cell r="R293" t="b">
            <v>1</v>
          </cell>
        </row>
        <row r="294">
          <cell r="G294">
            <v>1</v>
          </cell>
          <cell r="O294" t="str">
            <v>Y</v>
          </cell>
          <cell r="P294" t="str">
            <v>N</v>
          </cell>
          <cell r="R294" t="b">
            <v>0</v>
          </cell>
        </row>
        <row r="295">
          <cell r="G295">
            <v>2</v>
          </cell>
          <cell r="O295" t="str">
            <v>N</v>
          </cell>
          <cell r="P295" t="str">
            <v>Y</v>
          </cell>
          <cell r="R295" t="b">
            <v>0</v>
          </cell>
        </row>
        <row r="296">
          <cell r="G296">
            <v>1</v>
          </cell>
          <cell r="O296" t="str">
            <v>N</v>
          </cell>
          <cell r="P296" t="str">
            <v>N</v>
          </cell>
          <cell r="R296" t="b">
            <v>0</v>
          </cell>
        </row>
        <row r="297">
          <cell r="G297">
            <v>2</v>
          </cell>
          <cell r="O297" t="str">
            <v>N</v>
          </cell>
          <cell r="P297" t="str">
            <v>N</v>
          </cell>
          <cell r="R297" t="b">
            <v>1</v>
          </cell>
        </row>
        <row r="298">
          <cell r="G298">
            <v>2</v>
          </cell>
          <cell r="O298" t="str">
            <v>N</v>
          </cell>
          <cell r="P298" t="str">
            <v>N</v>
          </cell>
          <cell r="R298" t="b">
            <v>1</v>
          </cell>
        </row>
        <row r="299">
          <cell r="G299">
            <v>1</v>
          </cell>
          <cell r="O299" t="str">
            <v>N</v>
          </cell>
          <cell r="P299" t="str">
            <v>N</v>
          </cell>
          <cell r="R299" t="b">
            <v>0</v>
          </cell>
        </row>
        <row r="300">
          <cell r="G300">
            <v>1</v>
          </cell>
          <cell r="O300" t="str">
            <v>N</v>
          </cell>
          <cell r="P300" t="str">
            <v>N</v>
          </cell>
          <cell r="R300" t="b">
            <v>1</v>
          </cell>
        </row>
        <row r="301">
          <cell r="G301">
            <v>2</v>
          </cell>
          <cell r="O301" t="str">
            <v>N</v>
          </cell>
          <cell r="P301" t="str">
            <v>N</v>
          </cell>
          <cell r="R301" t="b">
            <v>1</v>
          </cell>
        </row>
        <row r="302">
          <cell r="G302">
            <v>2</v>
          </cell>
          <cell r="O302" t="str">
            <v>N</v>
          </cell>
          <cell r="P302" t="str">
            <v>N</v>
          </cell>
          <cell r="R302" t="b">
            <v>1</v>
          </cell>
        </row>
        <row r="303">
          <cell r="G303">
            <v>2</v>
          </cell>
          <cell r="O303" t="str">
            <v>N</v>
          </cell>
          <cell r="P303" t="str">
            <v>N</v>
          </cell>
          <cell r="R303" t="b">
            <v>1</v>
          </cell>
        </row>
        <row r="304">
          <cell r="G304">
            <v>2</v>
          </cell>
          <cell r="O304" t="str">
            <v>N</v>
          </cell>
          <cell r="P304" t="str">
            <v>N</v>
          </cell>
          <cell r="R304" t="b">
            <v>1</v>
          </cell>
        </row>
        <row r="305">
          <cell r="G305">
            <v>1</v>
          </cell>
          <cell r="O305" t="str">
            <v>Y</v>
          </cell>
          <cell r="P305" t="str">
            <v>N</v>
          </cell>
          <cell r="R305" t="b">
            <v>0</v>
          </cell>
        </row>
        <row r="306">
          <cell r="G306">
            <v>2</v>
          </cell>
          <cell r="O306" t="str">
            <v>Y</v>
          </cell>
          <cell r="P306" t="str">
            <v>N</v>
          </cell>
          <cell r="R306" t="b">
            <v>1</v>
          </cell>
        </row>
        <row r="307">
          <cell r="G307">
            <v>2</v>
          </cell>
          <cell r="O307" t="str">
            <v>Y</v>
          </cell>
          <cell r="P307" t="str">
            <v>N</v>
          </cell>
          <cell r="R307" t="b">
            <v>1</v>
          </cell>
        </row>
        <row r="308">
          <cell r="G308">
            <v>2</v>
          </cell>
          <cell r="O308" t="str">
            <v>Y</v>
          </cell>
          <cell r="P308" t="str">
            <v>N</v>
          </cell>
          <cell r="R308" t="b">
            <v>1</v>
          </cell>
        </row>
        <row r="309">
          <cell r="G309">
            <v>1</v>
          </cell>
          <cell r="O309" t="str">
            <v>N</v>
          </cell>
          <cell r="P309" t="str">
            <v>Y</v>
          </cell>
          <cell r="R309" t="b">
            <v>0</v>
          </cell>
        </row>
        <row r="310">
          <cell r="G310">
            <v>1</v>
          </cell>
          <cell r="O310" t="str">
            <v>N</v>
          </cell>
          <cell r="P310" t="str">
            <v>Y</v>
          </cell>
          <cell r="R310" t="b">
            <v>0</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ec 1 Q1&amp;2"/>
      <sheetName val="Q3&amp;4"/>
      <sheetName val="Q5&amp;6"/>
      <sheetName val="Q7"/>
      <sheetName val="Sec 2 Q8&amp;9"/>
      <sheetName val="Q10&amp;11"/>
      <sheetName val="Q12"/>
      <sheetName val="Q13&amp;14"/>
      <sheetName val="Sec 3 Q15"/>
      <sheetName val="Q16&amp;17"/>
      <sheetName val="Q18"/>
      <sheetName val="Q19"/>
      <sheetName val="Q20"/>
      <sheetName val="Q21&amp;Q22"/>
      <sheetName val="Q23&amp;24"/>
      <sheetName val="Q25&amp;26"/>
      <sheetName val="Q27&amp;28"/>
      <sheetName val="Q29"/>
      <sheetName val="Sec 4 Q30&amp;31"/>
      <sheetName val="Q32-34"/>
      <sheetName val="Q35"/>
      <sheetName val="Sec 5 Q36a-b"/>
      <sheetName val="Q36c"/>
      <sheetName val="Q36d-f"/>
      <sheetName val="Q37"/>
      <sheetName val="Q38&amp;39"/>
    </sheetNames>
    <sheetDataSet>
      <sheetData sheetId="0" refreshError="1"/>
      <sheetData sheetId="1" refreshError="1">
        <row r="3">
          <cell r="C3" t="str">
            <v>SHP</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eport Admin"/>
      <sheetName val="AgencyProgram"/>
      <sheetName val="BedInventory"/>
      <sheetName val="Client"/>
      <sheetName val="ClientHistorical"/>
      <sheetName val="ProgramParticipation"/>
      <sheetName val="ServiceEvent"/>
      <sheetName val="IncomeBenefits"/>
      <sheetName val="ZipCodes"/>
      <sheetName val="HHLookup"/>
    </sheetNames>
    <sheetDataSet>
      <sheetData sheetId="0"/>
      <sheetData sheetId="1"/>
      <sheetData sheetId="2"/>
      <sheetData sheetId="3">
        <row r="1">
          <cell r="C1" t="str">
            <v>LegalFirstName</v>
          </cell>
        </row>
      </sheetData>
      <sheetData sheetId="4">
        <row r="1">
          <cell r="J1" t="str">
            <v>Physical Disability</v>
          </cell>
        </row>
      </sheetData>
      <sheetData sheetId="5">
        <row r="1">
          <cell r="B1" t="str">
            <v>Agency ID</v>
          </cell>
          <cell r="CP1" t="str">
            <v>Non-Cash Income Status at Report End</v>
          </cell>
        </row>
        <row r="2">
          <cell r="CP2" t="str">
            <v>None</v>
          </cell>
        </row>
        <row r="3">
          <cell r="CP3" t="str">
            <v>None</v>
          </cell>
        </row>
        <row r="4">
          <cell r="CP4" t="str">
            <v>DontKnow</v>
          </cell>
        </row>
        <row r="5">
          <cell r="CP5" t="str">
            <v>Missing</v>
          </cell>
        </row>
        <row r="6">
          <cell r="CP6" t="str">
            <v>None</v>
          </cell>
        </row>
        <row r="7">
          <cell r="CP7" t="str">
            <v>None</v>
          </cell>
        </row>
        <row r="8">
          <cell r="CP8" t="str">
            <v>Missing</v>
          </cell>
        </row>
        <row r="9">
          <cell r="CP9" t="str">
            <v>None</v>
          </cell>
        </row>
        <row r="10">
          <cell r="CP10" t="str">
            <v>None</v>
          </cell>
        </row>
        <row r="11">
          <cell r="CP11" t="str">
            <v>None</v>
          </cell>
        </row>
        <row r="12">
          <cell r="CP12" t="str">
            <v>None</v>
          </cell>
        </row>
        <row r="13">
          <cell r="CP13" t="str">
            <v>1+</v>
          </cell>
        </row>
        <row r="14">
          <cell r="CP14" t="str">
            <v>1+</v>
          </cell>
        </row>
      </sheetData>
      <sheetData sheetId="6">
        <row r="1">
          <cell r="X1" t="str">
            <v>Reporting Column</v>
          </cell>
        </row>
      </sheetData>
      <sheetData sheetId="7">
        <row r="1">
          <cell r="F1" t="str">
            <v>IncomeBenefitType</v>
          </cell>
          <cell r="G1" t="str">
            <v>SourceCode</v>
          </cell>
          <cell r="T1" t="str">
            <v>Exit Status</v>
          </cell>
          <cell r="U1" t="str">
            <v>Adult,  Child, or Unknown?</v>
          </cell>
          <cell r="W1" t="str">
            <v>Part of Most Recent Assessment?</v>
          </cell>
        </row>
        <row r="2">
          <cell r="F2">
            <v>2</v>
          </cell>
          <cell r="G2">
            <v>2</v>
          </cell>
          <cell r="T2" t="str">
            <v>L</v>
          </cell>
          <cell r="U2" t="str">
            <v>Adult</v>
          </cell>
          <cell r="W2" t="str">
            <v>Y</v>
          </cell>
        </row>
        <row r="3">
          <cell r="F3">
            <v>1</v>
          </cell>
          <cell r="G3">
            <v>1</v>
          </cell>
          <cell r="T3" t="str">
            <v>L</v>
          </cell>
          <cell r="U3" t="str">
            <v>Adult</v>
          </cell>
          <cell r="W3" t="str">
            <v>Y</v>
          </cell>
        </row>
        <row r="4">
          <cell r="F4">
            <v>2</v>
          </cell>
          <cell r="G4">
            <v>1</v>
          </cell>
          <cell r="T4" t="str">
            <v>L</v>
          </cell>
          <cell r="U4" t="str">
            <v>Adult</v>
          </cell>
          <cell r="W4" t="str">
            <v>Y</v>
          </cell>
        </row>
        <row r="5">
          <cell r="F5">
            <v>2</v>
          </cell>
          <cell r="G5">
            <v>2</v>
          </cell>
          <cell r="T5" t="str">
            <v>L</v>
          </cell>
          <cell r="U5" t="str">
            <v>Adult</v>
          </cell>
          <cell r="W5" t="str">
            <v>Y</v>
          </cell>
        </row>
        <row r="6">
          <cell r="F6">
            <v>2</v>
          </cell>
          <cell r="G6">
            <v>1</v>
          </cell>
          <cell r="T6" t="str">
            <v>L</v>
          </cell>
          <cell r="U6" t="str">
            <v>Adult</v>
          </cell>
          <cell r="W6" t="str">
            <v>Y</v>
          </cell>
        </row>
        <row r="7">
          <cell r="F7">
            <v>2</v>
          </cell>
          <cell r="G7">
            <v>1</v>
          </cell>
          <cell r="T7" t="str">
            <v>L</v>
          </cell>
          <cell r="U7" t="str">
            <v>Adult</v>
          </cell>
          <cell r="W7" t="str">
            <v>Y</v>
          </cell>
        </row>
        <row r="8">
          <cell r="F8">
            <v>2</v>
          </cell>
          <cell r="G8">
            <v>1</v>
          </cell>
          <cell r="T8" t="str">
            <v>S</v>
          </cell>
          <cell r="U8" t="str">
            <v>Adult</v>
          </cell>
          <cell r="W8" t="str">
            <v>Y</v>
          </cell>
        </row>
        <row r="9">
          <cell r="F9">
            <v>2</v>
          </cell>
          <cell r="G9">
            <v>2</v>
          </cell>
          <cell r="T9" t="str">
            <v>S</v>
          </cell>
          <cell r="U9" t="str">
            <v>Adult</v>
          </cell>
          <cell r="W9" t="str">
            <v>Y</v>
          </cell>
        </row>
        <row r="10">
          <cell r="F10">
            <v>2</v>
          </cell>
          <cell r="G10">
            <v>1</v>
          </cell>
          <cell r="T10" t="str">
            <v>S</v>
          </cell>
          <cell r="U10" t="str">
            <v>Adult</v>
          </cell>
          <cell r="W10" t="str">
            <v>Y</v>
          </cell>
        </row>
        <row r="11">
          <cell r="F11">
            <v>2</v>
          </cell>
          <cell r="G11">
            <v>2</v>
          </cell>
          <cell r="T11" t="str">
            <v>L</v>
          </cell>
          <cell r="U11" t="str">
            <v>Adult</v>
          </cell>
          <cell r="W11" t="str">
            <v>Y</v>
          </cell>
        </row>
        <row r="12">
          <cell r="F12">
            <v>2</v>
          </cell>
          <cell r="G12">
            <v>1</v>
          </cell>
          <cell r="T12" t="str">
            <v>L</v>
          </cell>
          <cell r="U12" t="str">
            <v>Adult</v>
          </cell>
          <cell r="W12" t="str">
            <v>Y</v>
          </cell>
        </row>
        <row r="13">
          <cell r="F13">
            <v>2</v>
          </cell>
          <cell r="G13">
            <v>1</v>
          </cell>
          <cell r="T13" t="str">
            <v>L</v>
          </cell>
          <cell r="U13" t="str">
            <v>Adult</v>
          </cell>
          <cell r="W13" t="str">
            <v>Y</v>
          </cell>
        </row>
        <row r="14">
          <cell r="F14">
            <v>2</v>
          </cell>
          <cell r="G14">
            <v>1</v>
          </cell>
          <cell r="T14" t="str">
            <v>L</v>
          </cell>
          <cell r="U14" t="str">
            <v>Adult</v>
          </cell>
          <cell r="W14" t="str">
            <v>Y</v>
          </cell>
        </row>
        <row r="15">
          <cell r="F15">
            <v>2</v>
          </cell>
          <cell r="G15">
            <v>1</v>
          </cell>
          <cell r="T15" t="str">
            <v>L</v>
          </cell>
          <cell r="U15" t="str">
            <v>Adult</v>
          </cell>
          <cell r="W15" t="str">
            <v>Y</v>
          </cell>
        </row>
        <row r="16">
          <cell r="F16">
            <v>1</v>
          </cell>
          <cell r="G16">
            <v>1</v>
          </cell>
          <cell r="T16" t="str">
            <v>L</v>
          </cell>
          <cell r="U16" t="str">
            <v>Adult</v>
          </cell>
          <cell r="W16" t="str">
            <v>Y</v>
          </cell>
        </row>
        <row r="17">
          <cell r="F17">
            <v>2</v>
          </cell>
          <cell r="G17">
            <v>1</v>
          </cell>
          <cell r="T17" t="str">
            <v>L</v>
          </cell>
          <cell r="U17" t="str">
            <v>Adult</v>
          </cell>
          <cell r="W17" t="str">
            <v>Y</v>
          </cell>
        </row>
        <row r="18">
          <cell r="F18">
            <v>2</v>
          </cell>
          <cell r="G18">
            <v>2</v>
          </cell>
          <cell r="T18" t="str">
            <v>L</v>
          </cell>
          <cell r="U18" t="str">
            <v>Adult</v>
          </cell>
          <cell r="W18" t="str">
            <v>Y</v>
          </cell>
        </row>
        <row r="19">
          <cell r="F19">
            <v>2</v>
          </cell>
          <cell r="G19">
            <v>1</v>
          </cell>
          <cell r="T19" t="str">
            <v>L</v>
          </cell>
          <cell r="U19" t="str">
            <v>Adult</v>
          </cell>
          <cell r="W19" t="str">
            <v>Y</v>
          </cell>
        </row>
        <row r="20">
          <cell r="F20">
            <v>2</v>
          </cell>
          <cell r="G20">
            <v>2</v>
          </cell>
          <cell r="T20" t="str">
            <v>L</v>
          </cell>
          <cell r="U20" t="str">
            <v>Adult</v>
          </cell>
          <cell r="W20" t="str">
            <v>Y</v>
          </cell>
        </row>
        <row r="21">
          <cell r="F21">
            <v>2</v>
          </cell>
          <cell r="G21">
            <v>2</v>
          </cell>
          <cell r="T21" t="str">
            <v>L</v>
          </cell>
          <cell r="U21" t="str">
            <v>Adult</v>
          </cell>
          <cell r="W21" t="str">
            <v>Y</v>
          </cell>
        </row>
        <row r="22">
          <cell r="F22">
            <v>2</v>
          </cell>
          <cell r="G22">
            <v>3</v>
          </cell>
          <cell r="T22" t="str">
            <v>L</v>
          </cell>
          <cell r="U22" t="str">
            <v>Adult</v>
          </cell>
          <cell r="W22" t="str">
            <v>Y</v>
          </cell>
        </row>
        <row r="23">
          <cell r="F23">
            <v>2</v>
          </cell>
          <cell r="G23">
            <v>2</v>
          </cell>
          <cell r="T23" t="str">
            <v>L</v>
          </cell>
          <cell r="U23" t="str">
            <v>Adult</v>
          </cell>
          <cell r="W23" t="str">
            <v>Y</v>
          </cell>
        </row>
        <row r="24">
          <cell r="F24">
            <v>2</v>
          </cell>
          <cell r="G24">
            <v>3</v>
          </cell>
          <cell r="T24" t="str">
            <v>L</v>
          </cell>
          <cell r="U24" t="str">
            <v>Adult</v>
          </cell>
          <cell r="W24" t="str">
            <v>Y</v>
          </cell>
        </row>
        <row r="25">
          <cell r="F25">
            <v>1</v>
          </cell>
          <cell r="G25">
            <v>3</v>
          </cell>
          <cell r="T25" t="str">
            <v>L</v>
          </cell>
          <cell r="U25" t="str">
            <v>Adult</v>
          </cell>
          <cell r="W25" t="str">
            <v>Y</v>
          </cell>
        </row>
        <row r="26">
          <cell r="F26">
            <v>2</v>
          </cell>
          <cell r="G26">
            <v>1</v>
          </cell>
          <cell r="T26" t="str">
            <v>L</v>
          </cell>
          <cell r="U26" t="str">
            <v>Adult</v>
          </cell>
          <cell r="W26" t="str">
            <v>Y</v>
          </cell>
        </row>
        <row r="27">
          <cell r="F27">
            <v>2</v>
          </cell>
          <cell r="G27">
            <v>2</v>
          </cell>
          <cell r="T27" t="str">
            <v>L</v>
          </cell>
          <cell r="U27" t="str">
            <v>Adult</v>
          </cell>
          <cell r="W27" t="str">
            <v>Y</v>
          </cell>
        </row>
        <row r="28">
          <cell r="F28">
            <v>1</v>
          </cell>
          <cell r="G28">
            <v>3</v>
          </cell>
          <cell r="T28" t="str">
            <v>L</v>
          </cell>
          <cell r="U28" t="str">
            <v>Adult</v>
          </cell>
          <cell r="W28" t="str">
            <v>Y</v>
          </cell>
        </row>
        <row r="29">
          <cell r="F29">
            <v>2</v>
          </cell>
          <cell r="G29">
            <v>1</v>
          </cell>
          <cell r="T29" t="str">
            <v>L</v>
          </cell>
          <cell r="U29" t="str">
            <v>Adult</v>
          </cell>
          <cell r="W29" t="str">
            <v>Y</v>
          </cell>
        </row>
        <row r="30">
          <cell r="F30">
            <v>2</v>
          </cell>
          <cell r="G30">
            <v>2</v>
          </cell>
          <cell r="T30" t="str">
            <v>L</v>
          </cell>
          <cell r="U30" t="str">
            <v>Adult</v>
          </cell>
          <cell r="W30" t="str">
            <v>Y</v>
          </cell>
        </row>
        <row r="31">
          <cell r="F31">
            <v>1</v>
          </cell>
          <cell r="G31">
            <v>1</v>
          </cell>
          <cell r="T31" t="str">
            <v>L</v>
          </cell>
          <cell r="U31" t="str">
            <v>Adult</v>
          </cell>
          <cell r="W31" t="str">
            <v>Y</v>
          </cell>
        </row>
        <row r="32">
          <cell r="F32">
            <v>1</v>
          </cell>
          <cell r="G32">
            <v>1</v>
          </cell>
          <cell r="T32" t="str">
            <v>L</v>
          </cell>
          <cell r="U32" t="str">
            <v>Adult</v>
          </cell>
          <cell r="W32" t="str">
            <v>Y</v>
          </cell>
        </row>
        <row r="33">
          <cell r="F33">
            <v>2</v>
          </cell>
          <cell r="G33">
            <v>1</v>
          </cell>
          <cell r="T33" t="str">
            <v>L</v>
          </cell>
          <cell r="U33" t="str">
            <v>Adult</v>
          </cell>
          <cell r="W33" t="str">
            <v>Y</v>
          </cell>
        </row>
        <row r="34">
          <cell r="F34">
            <v>2</v>
          </cell>
          <cell r="G34">
            <v>2</v>
          </cell>
          <cell r="T34" t="str">
            <v>L</v>
          </cell>
          <cell r="U34" t="str">
            <v>Adult</v>
          </cell>
          <cell r="W34" t="str">
            <v>Y</v>
          </cell>
        </row>
        <row r="35">
          <cell r="F35">
            <v>2</v>
          </cell>
          <cell r="G35">
            <v>1</v>
          </cell>
          <cell r="T35" t="str">
            <v>L</v>
          </cell>
          <cell r="U35" t="str">
            <v>Adult</v>
          </cell>
          <cell r="W35" t="str">
            <v>Y</v>
          </cell>
        </row>
        <row r="36">
          <cell r="F36">
            <v>2</v>
          </cell>
          <cell r="G36">
            <v>2</v>
          </cell>
          <cell r="T36" t="str">
            <v>L</v>
          </cell>
          <cell r="U36" t="str">
            <v>Adult</v>
          </cell>
          <cell r="W36" t="str">
            <v>Y</v>
          </cell>
        </row>
        <row r="37">
          <cell r="F37">
            <v>1</v>
          </cell>
          <cell r="G37">
            <v>1</v>
          </cell>
          <cell r="T37" t="str">
            <v>L</v>
          </cell>
          <cell r="U37" t="str">
            <v>Adult</v>
          </cell>
          <cell r="W37" t="str">
            <v>Y</v>
          </cell>
        </row>
        <row r="38">
          <cell r="F38">
            <v>2</v>
          </cell>
          <cell r="G38">
            <v>1</v>
          </cell>
          <cell r="T38" t="str">
            <v>L</v>
          </cell>
          <cell r="U38" t="str">
            <v>Adult</v>
          </cell>
          <cell r="W38" t="str">
            <v>Y</v>
          </cell>
        </row>
        <row r="39">
          <cell r="F39">
            <v>2</v>
          </cell>
          <cell r="G39">
            <v>1</v>
          </cell>
          <cell r="T39" t="str">
            <v>L</v>
          </cell>
          <cell r="U39" t="str">
            <v>Adult</v>
          </cell>
          <cell r="W39" t="str">
            <v>Y</v>
          </cell>
        </row>
        <row r="40">
          <cell r="F40">
            <v>2</v>
          </cell>
          <cell r="G40">
            <v>2</v>
          </cell>
          <cell r="T40" t="str">
            <v>L</v>
          </cell>
          <cell r="U40" t="str">
            <v>Adult</v>
          </cell>
          <cell r="W40" t="str">
            <v>Y</v>
          </cell>
        </row>
        <row r="41">
          <cell r="F41">
            <v>2</v>
          </cell>
          <cell r="G41">
            <v>1</v>
          </cell>
          <cell r="T41" t="str">
            <v>L</v>
          </cell>
          <cell r="U41" t="str">
            <v>Adult</v>
          </cell>
          <cell r="W41" t="str">
            <v>Y</v>
          </cell>
        </row>
        <row r="42">
          <cell r="F42">
            <v>2</v>
          </cell>
          <cell r="G42">
            <v>2</v>
          </cell>
          <cell r="T42" t="str">
            <v>L</v>
          </cell>
          <cell r="U42" t="str">
            <v>Adult</v>
          </cell>
          <cell r="W42" t="str">
            <v>Y</v>
          </cell>
        </row>
        <row r="43">
          <cell r="F43">
            <v>2</v>
          </cell>
          <cell r="G43">
            <v>1</v>
          </cell>
          <cell r="T43" t="str">
            <v>L</v>
          </cell>
          <cell r="U43" t="str">
            <v>Adult</v>
          </cell>
          <cell r="W43" t="str">
            <v>Y</v>
          </cell>
        </row>
        <row r="44">
          <cell r="F44">
            <v>2</v>
          </cell>
          <cell r="G44">
            <v>2</v>
          </cell>
          <cell r="T44" t="str">
            <v>L</v>
          </cell>
          <cell r="U44" t="str">
            <v>Adult</v>
          </cell>
          <cell r="W44" t="str">
            <v>Y</v>
          </cell>
        </row>
        <row r="45">
          <cell r="F45">
            <v>2</v>
          </cell>
          <cell r="G45">
            <v>5</v>
          </cell>
          <cell r="T45" t="str">
            <v>L</v>
          </cell>
          <cell r="U45" t="str">
            <v>Adult</v>
          </cell>
          <cell r="W45" t="str">
            <v>Y</v>
          </cell>
        </row>
        <row r="46">
          <cell r="F46">
            <v>1</v>
          </cell>
          <cell r="G46">
            <v>10</v>
          </cell>
          <cell r="T46" t="str">
            <v>L</v>
          </cell>
          <cell r="U46" t="str">
            <v>Adult</v>
          </cell>
          <cell r="W46" t="str">
            <v>Y</v>
          </cell>
        </row>
        <row r="47">
          <cell r="F47">
            <v>2</v>
          </cell>
          <cell r="G47">
            <v>1</v>
          </cell>
          <cell r="T47" t="str">
            <v>L</v>
          </cell>
          <cell r="U47" t="str">
            <v>Adult</v>
          </cell>
          <cell r="W47" t="str">
            <v>Y</v>
          </cell>
        </row>
        <row r="48">
          <cell r="F48">
            <v>2</v>
          </cell>
          <cell r="G48">
            <v>2</v>
          </cell>
          <cell r="T48" t="str">
            <v>L</v>
          </cell>
          <cell r="U48" t="str">
            <v>Adult</v>
          </cell>
          <cell r="W48" t="str">
            <v>Y</v>
          </cell>
        </row>
        <row r="49">
          <cell r="F49">
            <v>2</v>
          </cell>
          <cell r="G49">
            <v>5</v>
          </cell>
          <cell r="T49" t="str">
            <v>L</v>
          </cell>
          <cell r="U49" t="str">
            <v>Adult</v>
          </cell>
          <cell r="W49" t="str">
            <v>Y</v>
          </cell>
        </row>
        <row r="50">
          <cell r="F50">
            <v>1</v>
          </cell>
          <cell r="G50">
            <v>1</v>
          </cell>
          <cell r="T50" t="str">
            <v>L</v>
          </cell>
          <cell r="U50" t="str">
            <v>Adult</v>
          </cell>
          <cell r="W50" t="str">
            <v>Y</v>
          </cell>
        </row>
        <row r="51">
          <cell r="F51">
            <v>1</v>
          </cell>
          <cell r="G51">
            <v>1</v>
          </cell>
          <cell r="T51" t="str">
            <v>L</v>
          </cell>
          <cell r="U51" t="str">
            <v>Adult</v>
          </cell>
          <cell r="W51" t="str">
            <v>Y</v>
          </cell>
        </row>
        <row r="52">
          <cell r="F52">
            <v>2</v>
          </cell>
          <cell r="G52">
            <v>1</v>
          </cell>
          <cell r="T52" t="str">
            <v>L</v>
          </cell>
          <cell r="U52" t="str">
            <v>Adult</v>
          </cell>
          <cell r="W52" t="str">
            <v>Y</v>
          </cell>
        </row>
        <row r="53">
          <cell r="F53">
            <v>2</v>
          </cell>
          <cell r="G53">
            <v>2</v>
          </cell>
          <cell r="T53" t="str">
            <v>L</v>
          </cell>
          <cell r="U53" t="str">
            <v>Adult</v>
          </cell>
          <cell r="W53" t="str">
            <v>Y</v>
          </cell>
        </row>
        <row r="54">
          <cell r="F54">
            <v>2</v>
          </cell>
          <cell r="G54">
            <v>2</v>
          </cell>
          <cell r="T54" t="str">
            <v>L</v>
          </cell>
          <cell r="U54" t="str">
            <v>Adult</v>
          </cell>
          <cell r="W54" t="str">
            <v>Y</v>
          </cell>
        </row>
        <row r="55">
          <cell r="F55">
            <v>1</v>
          </cell>
          <cell r="G55">
            <v>1</v>
          </cell>
          <cell r="T55" t="str">
            <v>L</v>
          </cell>
          <cell r="U55" t="str">
            <v>Adult</v>
          </cell>
          <cell r="W55" t="str">
            <v>Y</v>
          </cell>
        </row>
        <row r="56">
          <cell r="F56">
            <v>2</v>
          </cell>
          <cell r="G56">
            <v>1</v>
          </cell>
          <cell r="T56" t="str">
            <v>L</v>
          </cell>
          <cell r="U56" t="str">
            <v>Adult</v>
          </cell>
          <cell r="W56" t="str">
            <v>Y</v>
          </cell>
        </row>
        <row r="57">
          <cell r="F57">
            <v>1</v>
          </cell>
          <cell r="G57">
            <v>17</v>
          </cell>
          <cell r="T57" t="str">
            <v>L</v>
          </cell>
          <cell r="U57" t="str">
            <v>Adult</v>
          </cell>
          <cell r="W57" t="str">
            <v>Y</v>
          </cell>
        </row>
        <row r="58">
          <cell r="F58">
            <v>2</v>
          </cell>
          <cell r="G58">
            <v>1</v>
          </cell>
          <cell r="T58" t="str">
            <v>L</v>
          </cell>
          <cell r="U58" t="str">
            <v>Adult</v>
          </cell>
          <cell r="W58" t="str">
            <v>Y</v>
          </cell>
        </row>
        <row r="59">
          <cell r="F59">
            <v>1</v>
          </cell>
          <cell r="G59">
            <v>1</v>
          </cell>
          <cell r="T59" t="str">
            <v>L</v>
          </cell>
          <cell r="U59" t="str">
            <v>Adult</v>
          </cell>
          <cell r="W59" t="str">
            <v>Y</v>
          </cell>
        </row>
        <row r="60">
          <cell r="F60">
            <v>1</v>
          </cell>
          <cell r="G60">
            <v>17</v>
          </cell>
          <cell r="T60" t="str">
            <v>L</v>
          </cell>
          <cell r="U60" t="str">
            <v>Adult</v>
          </cell>
          <cell r="W60" t="str">
            <v>Y</v>
          </cell>
        </row>
        <row r="61">
          <cell r="F61">
            <v>2</v>
          </cell>
          <cell r="G61">
            <v>1</v>
          </cell>
          <cell r="T61" t="str">
            <v>L</v>
          </cell>
          <cell r="U61" t="str">
            <v>Adult</v>
          </cell>
          <cell r="W61" t="str">
            <v>Y</v>
          </cell>
        </row>
        <row r="62">
          <cell r="F62">
            <v>1</v>
          </cell>
          <cell r="G62">
            <v>1</v>
          </cell>
          <cell r="T62" t="str">
            <v>L</v>
          </cell>
          <cell r="U62" t="str">
            <v>Adult</v>
          </cell>
          <cell r="W62" t="str">
            <v>Y</v>
          </cell>
        </row>
        <row r="63">
          <cell r="F63">
            <v>2</v>
          </cell>
          <cell r="G63">
            <v>2</v>
          </cell>
          <cell r="T63" t="str">
            <v>L</v>
          </cell>
          <cell r="U63" t="str">
            <v>Adult</v>
          </cell>
          <cell r="W63" t="str">
            <v>Y</v>
          </cell>
        </row>
        <row r="64">
          <cell r="F64">
            <v>2</v>
          </cell>
          <cell r="G64">
            <v>2</v>
          </cell>
          <cell r="T64" t="str">
            <v>L</v>
          </cell>
          <cell r="U64" t="str">
            <v>Adult</v>
          </cell>
          <cell r="W64" t="str">
            <v>Y</v>
          </cell>
        </row>
        <row r="65">
          <cell r="F65">
            <v>1</v>
          </cell>
          <cell r="G65">
            <v>1</v>
          </cell>
          <cell r="T65" t="str">
            <v>L</v>
          </cell>
          <cell r="U65" t="str">
            <v>Adult</v>
          </cell>
          <cell r="W65" t="str">
            <v>Y</v>
          </cell>
        </row>
        <row r="66">
          <cell r="F66">
            <v>1</v>
          </cell>
          <cell r="G66">
            <v>1</v>
          </cell>
          <cell r="T66" t="str">
            <v>L</v>
          </cell>
          <cell r="U66" t="str">
            <v>Adult</v>
          </cell>
          <cell r="W66" t="str">
            <v>Y</v>
          </cell>
        </row>
        <row r="67">
          <cell r="F67">
            <v>2</v>
          </cell>
          <cell r="G67">
            <v>13</v>
          </cell>
          <cell r="T67" t="str">
            <v>L</v>
          </cell>
          <cell r="U67" t="str">
            <v>Adult</v>
          </cell>
          <cell r="W67" t="str">
            <v>Y</v>
          </cell>
        </row>
        <row r="68">
          <cell r="F68">
            <v>2</v>
          </cell>
          <cell r="G68">
            <v>13</v>
          </cell>
          <cell r="T68" t="str">
            <v>L</v>
          </cell>
          <cell r="U68" t="str">
            <v>Adult</v>
          </cell>
          <cell r="W68" t="str">
            <v>Y</v>
          </cell>
        </row>
        <row r="69">
          <cell r="F69">
            <v>1</v>
          </cell>
          <cell r="G69">
            <v>1</v>
          </cell>
          <cell r="T69" t="str">
            <v>L</v>
          </cell>
          <cell r="U69" t="str">
            <v>Adult</v>
          </cell>
          <cell r="W69" t="str">
            <v>Y</v>
          </cell>
        </row>
        <row r="70">
          <cell r="F70">
            <v>1</v>
          </cell>
          <cell r="G70">
            <v>1</v>
          </cell>
          <cell r="T70" t="str">
            <v>L</v>
          </cell>
          <cell r="U70" t="str">
            <v>Adult</v>
          </cell>
          <cell r="W70" t="str">
            <v>Y</v>
          </cell>
        </row>
        <row r="71">
          <cell r="F71">
            <v>1</v>
          </cell>
          <cell r="G71">
            <v>1</v>
          </cell>
          <cell r="T71" t="str">
            <v>L</v>
          </cell>
          <cell r="U71" t="str">
            <v>Adult</v>
          </cell>
          <cell r="W71" t="str">
            <v>Y</v>
          </cell>
        </row>
        <row r="72">
          <cell r="F72">
            <v>1</v>
          </cell>
          <cell r="G72">
            <v>1</v>
          </cell>
          <cell r="T72" t="str">
            <v>L</v>
          </cell>
          <cell r="U72" t="str">
            <v>Adult</v>
          </cell>
          <cell r="W72" t="str">
            <v>Y</v>
          </cell>
        </row>
        <row r="73">
          <cell r="F73">
            <v>1</v>
          </cell>
          <cell r="G73">
            <v>1</v>
          </cell>
          <cell r="T73" t="str">
            <v>L</v>
          </cell>
          <cell r="U73" t="str">
            <v>Adult</v>
          </cell>
          <cell r="W73" t="str">
            <v>Y</v>
          </cell>
        </row>
        <row r="74">
          <cell r="F74">
            <v>1</v>
          </cell>
          <cell r="G74">
            <v>1</v>
          </cell>
          <cell r="T74" t="str">
            <v>L</v>
          </cell>
          <cell r="U74" t="str">
            <v>Adult</v>
          </cell>
          <cell r="W74" t="str">
            <v>Y</v>
          </cell>
        </row>
        <row r="75">
          <cell r="F75">
            <v>1</v>
          </cell>
          <cell r="G75">
            <v>1</v>
          </cell>
          <cell r="T75" t="str">
            <v>L</v>
          </cell>
          <cell r="U75" t="str">
            <v>Adult</v>
          </cell>
          <cell r="W75" t="str">
            <v>Y</v>
          </cell>
        </row>
        <row r="76">
          <cell r="F76">
            <v>1</v>
          </cell>
          <cell r="G76">
            <v>1</v>
          </cell>
          <cell r="T76" t="str">
            <v>L</v>
          </cell>
          <cell r="U76" t="str">
            <v>Adult</v>
          </cell>
          <cell r="W76" t="str">
            <v>Y</v>
          </cell>
        </row>
        <row r="77">
          <cell r="F77">
            <v>1</v>
          </cell>
          <cell r="G77">
            <v>1</v>
          </cell>
          <cell r="T77" t="str">
            <v>L</v>
          </cell>
          <cell r="U77" t="str">
            <v>Adult</v>
          </cell>
          <cell r="W77" t="str">
            <v>Y</v>
          </cell>
        </row>
        <row r="78">
          <cell r="F78">
            <v>1</v>
          </cell>
          <cell r="G78">
            <v>1</v>
          </cell>
          <cell r="T78" t="str">
            <v>L</v>
          </cell>
          <cell r="U78" t="str">
            <v>Adult</v>
          </cell>
          <cell r="W78" t="str">
            <v>Y</v>
          </cell>
        </row>
        <row r="79">
          <cell r="F79">
            <v>2</v>
          </cell>
          <cell r="G79">
            <v>1</v>
          </cell>
          <cell r="T79" t="str">
            <v>L</v>
          </cell>
          <cell r="U79" t="str">
            <v>Adult</v>
          </cell>
          <cell r="W79" t="str">
            <v>Y</v>
          </cell>
        </row>
        <row r="80">
          <cell r="F80">
            <v>2</v>
          </cell>
          <cell r="G80">
            <v>2</v>
          </cell>
          <cell r="T80" t="str">
            <v>L</v>
          </cell>
          <cell r="U80" t="str">
            <v>Adult</v>
          </cell>
          <cell r="W80" t="str">
            <v>Y</v>
          </cell>
        </row>
        <row r="81">
          <cell r="F81">
            <v>2</v>
          </cell>
          <cell r="G81">
            <v>1</v>
          </cell>
          <cell r="T81" t="str">
            <v>L</v>
          </cell>
          <cell r="U81" t="str">
            <v>Adult</v>
          </cell>
          <cell r="W81" t="str">
            <v>Y</v>
          </cell>
        </row>
        <row r="82">
          <cell r="F82">
            <v>2</v>
          </cell>
          <cell r="G82">
            <v>2</v>
          </cell>
          <cell r="T82" t="str">
            <v>L</v>
          </cell>
          <cell r="U82" t="str">
            <v>Adult</v>
          </cell>
          <cell r="W82" t="str">
            <v>Y</v>
          </cell>
        </row>
        <row r="83">
          <cell r="F83">
            <v>2</v>
          </cell>
          <cell r="G83">
            <v>1</v>
          </cell>
          <cell r="T83" t="str">
            <v>L</v>
          </cell>
          <cell r="U83" t="str">
            <v>Adult</v>
          </cell>
          <cell r="W83" t="str">
            <v>Y</v>
          </cell>
        </row>
        <row r="84">
          <cell r="F84">
            <v>1</v>
          </cell>
          <cell r="G84">
            <v>1</v>
          </cell>
          <cell r="T84" t="str">
            <v>L</v>
          </cell>
          <cell r="U84" t="str">
            <v>Adult</v>
          </cell>
          <cell r="W84" t="str">
            <v>Y</v>
          </cell>
        </row>
        <row r="85">
          <cell r="F85">
            <v>2</v>
          </cell>
          <cell r="G85">
            <v>1</v>
          </cell>
          <cell r="T85" t="str">
            <v>L</v>
          </cell>
          <cell r="U85" t="str">
            <v>Adult</v>
          </cell>
          <cell r="W85" t="str">
            <v>Y</v>
          </cell>
        </row>
        <row r="86">
          <cell r="F86">
            <v>1</v>
          </cell>
          <cell r="G86">
            <v>1</v>
          </cell>
          <cell r="T86" t="str">
            <v>L</v>
          </cell>
          <cell r="U86" t="str">
            <v>Adult</v>
          </cell>
          <cell r="W86" t="str">
            <v>Y</v>
          </cell>
        </row>
        <row r="87">
          <cell r="F87">
            <v>2</v>
          </cell>
          <cell r="G87">
            <v>1</v>
          </cell>
          <cell r="T87" t="str">
            <v>L</v>
          </cell>
          <cell r="U87" t="str">
            <v>Adult</v>
          </cell>
          <cell r="W87" t="str">
            <v>Y</v>
          </cell>
        </row>
        <row r="88">
          <cell r="F88">
            <v>1</v>
          </cell>
          <cell r="G88">
            <v>1</v>
          </cell>
          <cell r="T88" t="str">
            <v>L</v>
          </cell>
          <cell r="U88" t="str">
            <v>Adult</v>
          </cell>
          <cell r="W88" t="str">
            <v>Y</v>
          </cell>
        </row>
        <row r="89">
          <cell r="F89">
            <v>1</v>
          </cell>
          <cell r="G89">
            <v>1</v>
          </cell>
          <cell r="T89" t="str">
            <v>L</v>
          </cell>
          <cell r="U89" t="str">
            <v>Adult</v>
          </cell>
          <cell r="W89" t="str">
            <v>Y</v>
          </cell>
        </row>
        <row r="90">
          <cell r="F90">
            <v>2</v>
          </cell>
          <cell r="G90">
            <v>3</v>
          </cell>
          <cell r="T90" t="str">
            <v>L</v>
          </cell>
          <cell r="U90" t="str">
            <v>Adult</v>
          </cell>
          <cell r="W90" t="str">
            <v>Y</v>
          </cell>
        </row>
        <row r="91">
          <cell r="F91">
            <v>2</v>
          </cell>
          <cell r="G91">
            <v>3</v>
          </cell>
          <cell r="T91" t="str">
            <v>L</v>
          </cell>
          <cell r="U91" t="str">
            <v>Adult</v>
          </cell>
          <cell r="W91" t="str">
            <v>Y</v>
          </cell>
        </row>
        <row r="92">
          <cell r="F92">
            <v>1</v>
          </cell>
          <cell r="G92">
            <v>1</v>
          </cell>
          <cell r="T92" t="str">
            <v>L</v>
          </cell>
          <cell r="U92" t="str">
            <v>Adult</v>
          </cell>
          <cell r="W92" t="str">
            <v>Y</v>
          </cell>
        </row>
        <row r="93">
          <cell r="F93">
            <v>2</v>
          </cell>
          <cell r="G93">
            <v>1</v>
          </cell>
          <cell r="T93" t="str">
            <v>L</v>
          </cell>
          <cell r="U93" t="str">
            <v>Adult</v>
          </cell>
          <cell r="W93" t="str">
            <v>Y</v>
          </cell>
        </row>
        <row r="94">
          <cell r="F94">
            <v>2</v>
          </cell>
          <cell r="G94">
            <v>1</v>
          </cell>
          <cell r="T94" t="str">
            <v>L</v>
          </cell>
          <cell r="U94" t="str">
            <v>Adult</v>
          </cell>
          <cell r="W94" t="str">
            <v>Y</v>
          </cell>
        </row>
        <row r="95">
          <cell r="F95">
            <v>2</v>
          </cell>
          <cell r="G95">
            <v>1</v>
          </cell>
          <cell r="T95" t="str">
            <v>L</v>
          </cell>
          <cell r="U95" t="str">
            <v>Adult</v>
          </cell>
          <cell r="W95" t="str">
            <v>Y</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E47"/>
  <sheetViews>
    <sheetView tabSelected="1" zoomScale="80" zoomScaleNormal="80" workbookViewId="0">
      <selection activeCell="C16" sqref="C16:D16"/>
    </sheetView>
  </sheetViews>
  <sheetFormatPr defaultRowHeight="15"/>
  <cols>
    <col min="1" max="1" width="40.7109375" customWidth="1"/>
    <col min="2" max="2" width="8.5703125" customWidth="1"/>
    <col min="3" max="3" width="40.7109375" customWidth="1"/>
    <col min="4" max="4" width="9.7109375" customWidth="1"/>
  </cols>
  <sheetData>
    <row r="1" spans="1:5" ht="15.75" thickTop="1">
      <c r="A1" s="149" t="s">
        <v>0</v>
      </c>
      <c r="B1" s="150"/>
      <c r="C1" s="150"/>
      <c r="D1" s="151"/>
      <c r="E1" s="1"/>
    </row>
    <row r="2" spans="1:5" ht="15.75" thickBot="1">
      <c r="A2" s="152" t="s">
        <v>15</v>
      </c>
      <c r="B2" s="153"/>
      <c r="C2" s="153"/>
      <c r="D2" s="154"/>
      <c r="E2" s="1"/>
    </row>
    <row r="3" spans="1:5">
      <c r="A3" s="384" t="s">
        <v>1</v>
      </c>
      <c r="B3" s="385"/>
      <c r="C3" s="388"/>
      <c r="D3" s="389"/>
    </row>
    <row r="4" spans="1:5" ht="15" customHeight="1">
      <c r="A4" s="382" t="s">
        <v>2</v>
      </c>
      <c r="B4" s="383"/>
      <c r="C4" s="386"/>
      <c r="D4" s="387"/>
    </row>
    <row r="5" spans="1:5">
      <c r="A5" s="382" t="s">
        <v>3</v>
      </c>
      <c r="B5" s="383"/>
      <c r="C5" s="386"/>
      <c r="D5" s="387"/>
    </row>
    <row r="6" spans="1:5">
      <c r="A6" s="382" t="s">
        <v>14</v>
      </c>
      <c r="B6" s="383"/>
      <c r="C6" s="386"/>
      <c r="D6" s="387"/>
    </row>
    <row r="7" spans="1:5">
      <c r="A7" s="382" t="s">
        <v>4</v>
      </c>
      <c r="B7" s="383"/>
      <c r="C7" s="386"/>
      <c r="D7" s="387"/>
    </row>
    <row r="8" spans="1:5">
      <c r="A8" s="382" t="s">
        <v>5</v>
      </c>
      <c r="B8" s="383"/>
      <c r="C8" s="386"/>
      <c r="D8" s="387"/>
    </row>
    <row r="9" spans="1:5">
      <c r="A9" s="382" t="s">
        <v>6</v>
      </c>
      <c r="B9" s="383"/>
      <c r="C9" s="386"/>
      <c r="D9" s="387"/>
    </row>
    <row r="10" spans="1:5">
      <c r="A10" s="382" t="s">
        <v>7</v>
      </c>
      <c r="B10" s="383"/>
      <c r="C10" s="386"/>
      <c r="D10" s="387"/>
    </row>
    <row r="11" spans="1:5">
      <c r="A11" s="382" t="s">
        <v>8</v>
      </c>
      <c r="B11" s="383"/>
      <c r="C11" s="386"/>
      <c r="D11" s="387"/>
    </row>
    <row r="12" spans="1:5">
      <c r="A12" s="382" t="s">
        <v>9</v>
      </c>
      <c r="B12" s="383"/>
      <c r="C12" s="386"/>
      <c r="D12" s="387"/>
    </row>
    <row r="13" spans="1:5">
      <c r="A13" s="382" t="s">
        <v>10</v>
      </c>
      <c r="B13" s="383"/>
      <c r="C13" s="386"/>
      <c r="D13" s="387"/>
    </row>
    <row r="14" spans="1:5">
      <c r="A14" s="382" t="s">
        <v>11</v>
      </c>
      <c r="B14" s="383"/>
      <c r="C14" s="386"/>
      <c r="D14" s="387"/>
    </row>
    <row r="15" spans="1:5">
      <c r="A15" s="382" t="s">
        <v>12</v>
      </c>
      <c r="B15" s="383"/>
      <c r="C15" s="386"/>
      <c r="D15" s="387"/>
    </row>
    <row r="16" spans="1:5" ht="15.75" thickBot="1">
      <c r="A16" s="395" t="s">
        <v>13</v>
      </c>
      <c r="B16" s="396"/>
      <c r="C16" s="392"/>
      <c r="D16" s="393"/>
    </row>
    <row r="17" spans="1:4" ht="16.5" customHeight="1" thickBot="1">
      <c r="A17" s="148"/>
      <c r="B17" s="148"/>
      <c r="C17" s="148"/>
      <c r="D17" s="148"/>
    </row>
    <row r="18" spans="1:4" ht="15.75" thickTop="1">
      <c r="A18" s="149" t="s">
        <v>16</v>
      </c>
      <c r="B18" s="150"/>
      <c r="C18" s="155"/>
      <c r="D18" s="156"/>
    </row>
    <row r="19" spans="1:4" ht="15.75" thickBot="1">
      <c r="A19" s="152" t="s">
        <v>15</v>
      </c>
      <c r="B19" s="153"/>
      <c r="C19" s="157"/>
      <c r="D19" s="158"/>
    </row>
    <row r="20" spans="1:4">
      <c r="A20" s="384" t="s">
        <v>17</v>
      </c>
      <c r="B20" s="385"/>
      <c r="C20" s="388"/>
      <c r="D20" s="389"/>
    </row>
    <row r="21" spans="1:4">
      <c r="A21" s="382" t="s">
        <v>18</v>
      </c>
      <c r="B21" s="383"/>
      <c r="C21" s="386"/>
      <c r="D21" s="387"/>
    </row>
    <row r="22" spans="1:4" ht="15" customHeight="1">
      <c r="A22" s="382" t="s">
        <v>19</v>
      </c>
      <c r="B22" s="383"/>
      <c r="C22" s="386"/>
      <c r="D22" s="387"/>
    </row>
    <row r="23" spans="1:4">
      <c r="A23" s="382" t="s">
        <v>20</v>
      </c>
      <c r="B23" s="383"/>
      <c r="C23" s="386"/>
      <c r="D23" s="387"/>
    </row>
    <row r="24" spans="1:4" ht="15.75" thickBot="1">
      <c r="A24" s="395" t="s">
        <v>21</v>
      </c>
      <c r="B24" s="396"/>
      <c r="C24" s="392"/>
      <c r="D24" s="393"/>
    </row>
    <row r="25" spans="1:4" ht="15.75" customHeight="1">
      <c r="A25" s="148"/>
      <c r="B25" s="148"/>
      <c r="C25" s="148"/>
      <c r="D25" s="148"/>
    </row>
    <row r="26" spans="1:4">
      <c r="A26" s="394" t="s">
        <v>22</v>
      </c>
      <c r="B26" s="394"/>
      <c r="C26" s="394"/>
      <c r="D26" s="394"/>
    </row>
    <row r="27" spans="1:4">
      <c r="A27" s="394"/>
      <c r="B27" s="394"/>
      <c r="C27" s="394"/>
      <c r="D27" s="394"/>
    </row>
    <row r="28" spans="1:4" ht="15" customHeight="1">
      <c r="A28" s="394"/>
      <c r="B28" s="394"/>
      <c r="C28" s="394"/>
      <c r="D28" s="394"/>
    </row>
    <row r="29" spans="1:4" ht="11.25" customHeight="1">
      <c r="A29" s="394"/>
      <c r="B29" s="394"/>
      <c r="C29" s="394"/>
      <c r="D29" s="394"/>
    </row>
    <row r="30" spans="1:4" hidden="1">
      <c r="A30" s="394"/>
      <c r="B30" s="394"/>
      <c r="C30" s="394"/>
      <c r="D30" s="394"/>
    </row>
    <row r="31" spans="1:4" ht="15" customHeight="1">
      <c r="A31" s="2"/>
      <c r="B31" s="2"/>
      <c r="C31" s="148"/>
      <c r="D31" s="148"/>
    </row>
    <row r="32" spans="1:4">
      <c r="A32" s="159" t="s">
        <v>23</v>
      </c>
      <c r="B32" s="148"/>
      <c r="C32" s="148"/>
      <c r="D32" s="148"/>
    </row>
    <row r="33" spans="1:4" ht="15.75" thickBot="1">
      <c r="A33" s="148"/>
      <c r="B33" s="148"/>
      <c r="C33" s="148"/>
      <c r="D33" s="148"/>
    </row>
    <row r="34" spans="1:4">
      <c r="A34" s="390" t="s">
        <v>1089</v>
      </c>
      <c r="B34" s="160"/>
      <c r="C34" s="390" t="s">
        <v>1088</v>
      </c>
      <c r="D34" s="148"/>
    </row>
    <row r="35" spans="1:4" ht="15.75" thickBot="1">
      <c r="A35" s="391"/>
      <c r="B35" s="160"/>
      <c r="C35" s="391"/>
      <c r="D35" s="161"/>
    </row>
    <row r="36" spans="1:4">
      <c r="A36" s="148" t="s">
        <v>1086</v>
      </c>
      <c r="B36" s="148"/>
      <c r="C36" s="148" t="s">
        <v>1087</v>
      </c>
      <c r="D36" s="148"/>
    </row>
    <row r="37" spans="1:4" ht="15.75" thickBot="1">
      <c r="A37" s="148"/>
      <c r="B37" s="148"/>
      <c r="C37" s="148"/>
      <c r="D37" s="148"/>
    </row>
    <row r="38" spans="1:4">
      <c r="A38" s="397"/>
      <c r="B38" s="160"/>
      <c r="C38" s="162"/>
      <c r="D38" s="148"/>
    </row>
    <row r="39" spans="1:4" ht="15.75" thickBot="1">
      <c r="A39" s="398"/>
      <c r="B39" s="160"/>
      <c r="C39" s="162"/>
      <c r="D39" s="161"/>
    </row>
    <row r="40" spans="1:4">
      <c r="A40" s="148" t="s">
        <v>512</v>
      </c>
      <c r="B40" s="148"/>
      <c r="C40" s="148"/>
      <c r="D40" s="148"/>
    </row>
    <row r="41" spans="1:4">
      <c r="A41" s="148"/>
      <c r="B41" s="148"/>
      <c r="C41" s="148"/>
      <c r="D41" s="148"/>
    </row>
    <row r="42" spans="1:4">
      <c r="A42" s="148"/>
      <c r="B42" s="148"/>
      <c r="C42" s="148"/>
      <c r="D42" s="148"/>
    </row>
    <row r="43" spans="1:4">
      <c r="A43" s="148"/>
      <c r="B43" s="148"/>
      <c r="C43" s="148"/>
      <c r="D43" s="148"/>
    </row>
    <row r="44" spans="1:4">
      <c r="A44" s="148"/>
      <c r="B44" s="148"/>
      <c r="C44" s="148"/>
      <c r="D44" s="148"/>
    </row>
    <row r="45" spans="1:4">
      <c r="A45" s="148"/>
      <c r="B45" s="148"/>
      <c r="C45" s="148"/>
      <c r="D45" s="148"/>
    </row>
    <row r="46" spans="1:4">
      <c r="A46" s="148"/>
      <c r="B46" s="148"/>
      <c r="C46" s="148"/>
      <c r="D46" s="148"/>
    </row>
    <row r="47" spans="1:4">
      <c r="A47" s="148"/>
      <c r="B47" s="148"/>
      <c r="C47" s="148"/>
      <c r="D47" s="148"/>
    </row>
  </sheetData>
  <mergeCells count="42">
    <mergeCell ref="A38:A39"/>
    <mergeCell ref="A9:B9"/>
    <mergeCell ref="A13:B13"/>
    <mergeCell ref="A14:B14"/>
    <mergeCell ref="A15:B15"/>
    <mergeCell ref="A34:A35"/>
    <mergeCell ref="A10:B10"/>
    <mergeCell ref="C11:D11"/>
    <mergeCell ref="C12:D12"/>
    <mergeCell ref="C13:D13"/>
    <mergeCell ref="C14:D14"/>
    <mergeCell ref="A11:B11"/>
    <mergeCell ref="A12:B12"/>
    <mergeCell ref="C34:C35"/>
    <mergeCell ref="C15:D15"/>
    <mergeCell ref="C16:D16"/>
    <mergeCell ref="A26:D30"/>
    <mergeCell ref="C20:D20"/>
    <mergeCell ref="C21:D21"/>
    <mergeCell ref="C22:D22"/>
    <mergeCell ref="C23:D23"/>
    <mergeCell ref="C24:D24"/>
    <mergeCell ref="A24:B24"/>
    <mergeCell ref="A23:B23"/>
    <mergeCell ref="A22:B22"/>
    <mergeCell ref="A16:B16"/>
    <mergeCell ref="A20:B20"/>
    <mergeCell ref="A21:B21"/>
    <mergeCell ref="C9:D9"/>
    <mergeCell ref="C10:D10"/>
    <mergeCell ref="C3:D3"/>
    <mergeCell ref="C4:D4"/>
    <mergeCell ref="C5:D5"/>
    <mergeCell ref="C6:D6"/>
    <mergeCell ref="C7:D7"/>
    <mergeCell ref="C8:D8"/>
    <mergeCell ref="A8:B8"/>
    <mergeCell ref="A3:B3"/>
    <mergeCell ref="A4:B4"/>
    <mergeCell ref="A5:B5"/>
    <mergeCell ref="A6:B6"/>
    <mergeCell ref="A7:B7"/>
  </mergeCells>
  <pageMargins left="0.32" right="0.2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I28"/>
  <sheetViews>
    <sheetView topLeftCell="A9" workbookViewId="0">
      <selection activeCell="B22" sqref="B22:I28"/>
    </sheetView>
  </sheetViews>
  <sheetFormatPr defaultRowHeight="15"/>
  <cols>
    <col min="1" max="1" width="20.42578125" customWidth="1"/>
    <col min="2" max="5" width="8.28515625" customWidth="1"/>
  </cols>
  <sheetData>
    <row r="1" spans="1:9" ht="15.75" customHeight="1" thickTop="1">
      <c r="A1" s="686" t="s">
        <v>431</v>
      </c>
      <c r="B1" s="687"/>
      <c r="C1" s="687"/>
      <c r="D1" s="687"/>
      <c r="E1" s="687"/>
      <c r="F1" s="687"/>
      <c r="G1" s="687"/>
      <c r="H1" s="687"/>
      <c r="I1" s="688"/>
    </row>
    <row r="2" spans="1:9" ht="15" customHeight="1">
      <c r="A2" s="689" t="s">
        <v>15</v>
      </c>
      <c r="B2" s="690"/>
      <c r="C2" s="690"/>
      <c r="D2" s="690"/>
      <c r="E2" s="690"/>
      <c r="F2" s="690"/>
      <c r="G2" s="690"/>
      <c r="H2" s="690"/>
      <c r="I2" s="691"/>
    </row>
    <row r="3" spans="1:9" ht="15.75" customHeight="1" thickBot="1">
      <c r="A3" s="692" t="s">
        <v>221</v>
      </c>
      <c r="B3" s="693"/>
      <c r="C3" s="693"/>
      <c r="D3" s="693"/>
      <c r="E3" s="693"/>
      <c r="F3" s="693"/>
      <c r="G3" s="693"/>
      <c r="H3" s="693"/>
      <c r="I3" s="694"/>
    </row>
    <row r="4" spans="1:9" ht="25.5" customHeight="1" thickBot="1">
      <c r="A4" s="695" t="s">
        <v>100</v>
      </c>
      <c r="B4" s="698" t="s">
        <v>116</v>
      </c>
      <c r="C4" s="699"/>
      <c r="D4" s="698" t="s">
        <v>1164</v>
      </c>
      <c r="E4" s="699"/>
      <c r="F4" s="702" t="s">
        <v>1165</v>
      </c>
      <c r="G4" s="703"/>
      <c r="H4" s="703"/>
      <c r="I4" s="704"/>
    </row>
    <row r="5" spans="1:9" ht="52.5" customHeight="1" thickBot="1">
      <c r="A5" s="696"/>
      <c r="B5" s="700"/>
      <c r="C5" s="701"/>
      <c r="D5" s="700"/>
      <c r="E5" s="701"/>
      <c r="F5" s="705" t="s">
        <v>119</v>
      </c>
      <c r="G5" s="706"/>
      <c r="H5" s="705" t="s">
        <v>120</v>
      </c>
      <c r="I5" s="706"/>
    </row>
    <row r="6" spans="1:9" ht="17.25" customHeight="1" thickBot="1">
      <c r="A6" s="697"/>
      <c r="B6" s="263" t="s">
        <v>242</v>
      </c>
      <c r="C6" s="264" t="s">
        <v>243</v>
      </c>
      <c r="D6" s="263" t="s">
        <v>242</v>
      </c>
      <c r="E6" s="264" t="s">
        <v>243</v>
      </c>
      <c r="F6" s="263" t="s">
        <v>242</v>
      </c>
      <c r="G6" s="264" t="s">
        <v>243</v>
      </c>
      <c r="H6" s="263" t="s">
        <v>242</v>
      </c>
      <c r="I6" s="264" t="s">
        <v>243</v>
      </c>
    </row>
    <row r="7" spans="1:9" ht="16.5" customHeight="1" thickTop="1" thickBot="1">
      <c r="A7" s="683" t="s">
        <v>432</v>
      </c>
      <c r="B7" s="684"/>
      <c r="C7" s="684"/>
      <c r="D7" s="684"/>
      <c r="E7" s="684"/>
      <c r="F7" s="684"/>
      <c r="G7" s="684"/>
      <c r="H7" s="684"/>
      <c r="I7" s="685"/>
    </row>
    <row r="8" spans="1:9" ht="15" customHeight="1" thickBot="1">
      <c r="A8" s="265" t="s">
        <v>433</v>
      </c>
      <c r="B8" s="354">
        <f>COUNTIFS(AdultOrChildAtLastEntry,"Adult",Gender,1,DuplicateClient, FALSE, LengthOfStay_Total, "&gt;0")</f>
        <v>40</v>
      </c>
      <c r="C8" s="266">
        <f>IF($B$13&lt;&gt;0, B8/$B$13, "")</f>
        <v>0.55555555555555558</v>
      </c>
      <c r="D8" s="354">
        <f>COUNTIFS(AdultOrChildAtLastEntry,"Adult",Gender,1, HouseholdTypeClient, "HHNoKids", DuplicateClient, FALSE, LengthOfStay_Total, "&gt;0")</f>
        <v>40</v>
      </c>
      <c r="E8" s="266">
        <f>IF(D13&lt;&gt;0, D8/$D$13, "")</f>
        <v>0.55555555555555558</v>
      </c>
      <c r="F8" s="354">
        <f>COUNTIFS(AdultOrChildAtLastEntry,"Adult",Gender,1, HouseholdTypeClient, "AdultChild", DuplicateClient, FALSE, LengthOfStay_Total, "&gt;0")</f>
        <v>0</v>
      </c>
      <c r="G8" s="266" t="str">
        <f>IF(F13&lt;&gt;0, F8/$F$13,"")</f>
        <v/>
      </c>
      <c r="H8" s="672" t="s">
        <v>444</v>
      </c>
      <c r="I8" s="673"/>
    </row>
    <row r="9" spans="1:9" ht="15" customHeight="1" thickBot="1">
      <c r="A9" s="265" t="s">
        <v>434</v>
      </c>
      <c r="B9" s="354">
        <f>COUNTIFS(AdultOrChildAtLastEntry,"Adult",Gender,0, DuplicateClient, FALSE, LengthOfStay_Total, "&gt;0")</f>
        <v>30</v>
      </c>
      <c r="C9" s="266">
        <f>IF($B$13&lt;&gt;0, B9/$B$13,"")</f>
        <v>0.41666666666666669</v>
      </c>
      <c r="D9" s="354">
        <f>COUNTIFS(AdultOrChildAtLastEntry,"Adult",Gender,0, HouseholdTypeClient, "HHNoKids", DuplicateClient, FALSE, LengthOfStay_Total, "&gt;0")</f>
        <v>30</v>
      </c>
      <c r="E9" s="266">
        <f>IF(D13&lt;&gt;0, D9/$D$13, "")</f>
        <v>0.41666666666666669</v>
      </c>
      <c r="F9" s="354">
        <f>COUNTIFS(AdultOrChildAtLastEntry,"Adult",Gender,0, HouseholdTypeClient, "AdultChild", DuplicateClient, FALSE, LengthOfStay_Total, "&gt;0")</f>
        <v>0</v>
      </c>
      <c r="G9" s="266" t="str">
        <f>IF(F13&lt;&gt;0, F9/$F$13,"")</f>
        <v/>
      </c>
      <c r="H9" s="674"/>
      <c r="I9" s="675"/>
    </row>
    <row r="10" spans="1:9" ht="15" customHeight="1" thickBot="1">
      <c r="A10" s="265" t="s">
        <v>435</v>
      </c>
      <c r="B10" s="354">
        <f>COUNTIFS(AdultOrChildAtLastEntry,"Adult",Gender,"&gt;=2",Gender,"&lt;=3", DuplicateClient, FALSE, LengthOfStay_Total, "&gt;0")</f>
        <v>2</v>
      </c>
      <c r="C10" s="266">
        <f>IF($B$13&lt;&gt;0, B10/$B$13,"")</f>
        <v>2.7777777777777776E-2</v>
      </c>
      <c r="D10" s="354">
        <f>COUNTIFS(AdultOrChildAtLastEntry,"Adult",Gender,"&gt;=2",Gender,"&lt;=3", HouseholdTypeClient, "HHNoKids", DuplicateClient, FALSE, LengthOfStay_Total, "&gt;0")</f>
        <v>2</v>
      </c>
      <c r="E10" s="266">
        <f>IF(D13&lt;&gt;0, D10/$D$13, "")</f>
        <v>2.7777777777777776E-2</v>
      </c>
      <c r="F10" s="354">
        <f>COUNTIFS(AdultOrChildAtLastEntry,"Adult",Gender,"&gt;=2",Gender,"&lt;=3", HouseholdTypeClient, "AdultChild", DuplicateClient, FALSE, LengthOfStay_Total, "&gt;0")</f>
        <v>0</v>
      </c>
      <c r="G10" s="266" t="str">
        <f>IF(F13&lt;&gt;0, F10/$F$13,"")</f>
        <v/>
      </c>
      <c r="H10" s="674"/>
      <c r="I10" s="675"/>
    </row>
    <row r="11" spans="1:9" ht="15" customHeight="1" thickBot="1">
      <c r="A11" s="265" t="s">
        <v>436</v>
      </c>
      <c r="B11" s="354">
        <f>COUNTIFS(AdultOrChildAtLastEntry,"Adult",Gender,"&gt;=8", Gender,"&lt;=9", DuplicateClient, FALSE, LengthOfStay_Total, "&gt;0")</f>
        <v>0</v>
      </c>
      <c r="C11" s="266">
        <f>IF($B$13&lt;&gt;0, B11/$B$13,"")</f>
        <v>0</v>
      </c>
      <c r="D11" s="354">
        <f>COUNTIFS(AdultOrChildAtLastEntry,"Adult",Gender,"&gt;=8", Gender,"&lt;=9", HouseholdTypeClient, "HHNoKids", DuplicateClient, FALSE, LengthOfStay_Total, "&gt;0")</f>
        <v>0</v>
      </c>
      <c r="E11" s="266">
        <f>IF(D13&lt;&gt;0, D11/$D$13, "")</f>
        <v>0</v>
      </c>
      <c r="F11" s="354">
        <f>COUNTIFS(AdultOrChildAtLastEntry,"Adult",Gender,"&gt;=8", Gender,"&lt;=9", HouseholdTypeClient, "AdultChild", DuplicateClient, FALSE, LengthOfStay_Total, "&gt;0")</f>
        <v>0</v>
      </c>
      <c r="G11" s="266" t="str">
        <f>IF(F13&lt;&gt;0, F11/$F$13,"")</f>
        <v/>
      </c>
      <c r="H11" s="674"/>
      <c r="I11" s="675"/>
    </row>
    <row r="12" spans="1:9" ht="15" customHeight="1" thickBot="1">
      <c r="A12" s="265" t="s">
        <v>437</v>
      </c>
      <c r="B12" s="354">
        <f>COUNTIFS(AdultOrChildAtLastEntry,"Adult",Gender,"", DuplicateClient, FALSE, LengthOfStay_Total, "&gt;0")</f>
        <v>0</v>
      </c>
      <c r="C12" s="266">
        <f>IF($B$13&lt;&gt;0, B12/$B$13,"")</f>
        <v>0</v>
      </c>
      <c r="D12" s="354">
        <f>COUNTIFS(AdultOrChildAtLastEntry,"Adult",Gender,"", HouseholdTypeClient, "HHNoKids", DuplicateClient, FALSE, LengthOfStay_Total, "&gt;0")</f>
        <v>0</v>
      </c>
      <c r="E12" s="266">
        <f>IF(D13&lt;&gt;0, D12/$D$13, "")</f>
        <v>0</v>
      </c>
      <c r="F12" s="354">
        <f>COUNTIFS(AdultOrChildAtLastEntry,"Adult",Gender,"", HouseholdTypeClient, "AdultChild", DuplicateClient, FALSE, LengthOfStay_Total, "&gt;0")</f>
        <v>0</v>
      </c>
      <c r="G12" s="266" t="str">
        <f>IF(F13&lt;&gt;0, F12/$F$13,"")</f>
        <v/>
      </c>
      <c r="H12" s="674"/>
      <c r="I12" s="675"/>
    </row>
    <row r="13" spans="1:9" ht="15" customHeight="1" thickBot="1">
      <c r="A13" s="267" t="s">
        <v>438</v>
      </c>
      <c r="B13" s="268">
        <f>SUM(B8:B12)</f>
        <v>72</v>
      </c>
      <c r="C13" s="355">
        <v>1</v>
      </c>
      <c r="D13" s="268">
        <f>SUM(D8:D12)</f>
        <v>72</v>
      </c>
      <c r="E13" s="355">
        <v>1</v>
      </c>
      <c r="F13" s="268">
        <f>SUM(F8:F12)</f>
        <v>0</v>
      </c>
      <c r="G13" s="355">
        <v>1</v>
      </c>
      <c r="H13" s="674"/>
      <c r="I13" s="675"/>
    </row>
    <row r="14" spans="1:9" ht="15.75" customHeight="1" thickBot="1">
      <c r="A14" s="680" t="s">
        <v>439</v>
      </c>
      <c r="B14" s="681"/>
      <c r="C14" s="681"/>
      <c r="D14" s="681"/>
      <c r="E14" s="681"/>
      <c r="F14" s="681"/>
      <c r="G14" s="681"/>
      <c r="H14" s="681"/>
      <c r="I14" s="682"/>
    </row>
    <row r="15" spans="1:9" ht="15" customHeight="1" thickBot="1">
      <c r="A15" s="265" t="s">
        <v>433</v>
      </c>
      <c r="B15" s="354">
        <f>COUNTIFS(AdultOrChildAtLastEntry,"Child",Gender,1, DuplicateClient, FALSE, LengthOfStay_Total, "&gt;0")</f>
        <v>22</v>
      </c>
      <c r="C15" s="266">
        <f>IF($B$20&lt;&gt;0, B15/$B$20, "")</f>
        <v>0.39285714285714285</v>
      </c>
      <c r="D15" s="672" t="s">
        <v>444</v>
      </c>
      <c r="E15" s="673"/>
      <c r="F15" s="354">
        <f>COUNTIFS(AdultOrChildAtLastEntry,"Child",Gender,1, HouseholdTypeClient, "AdultChild", DuplicateClient, FALSE, LengthOfStay_Total, "&gt;0")</f>
        <v>0</v>
      </c>
      <c r="G15" s="266" t="str">
        <f>IF($F$20&lt;&gt;0, F15/$F$20, "")</f>
        <v/>
      </c>
      <c r="H15" s="354">
        <f>COUNTIFS(AdultOrChildAtLastEntry,"Child",Gender,1, HouseholdTypeClient, "HHKidsOnly", DuplicateClient, FALSE, LengthOfStay_Total, "&gt;0")</f>
        <v>22</v>
      </c>
      <c r="I15" s="266">
        <f>IF($H$20&lt;&gt;0, H15/$H$20, "")</f>
        <v>0.39285714285714285</v>
      </c>
    </row>
    <row r="16" spans="1:9" ht="15" customHeight="1" thickBot="1">
      <c r="A16" s="265" t="s">
        <v>434</v>
      </c>
      <c r="B16" s="354">
        <f>COUNTIFS(AdultOrChildAtLastEntry,"Child",Gender,0, DuplicateClient, FALSE, LengthOfStay_Total, "&gt;0")</f>
        <v>33</v>
      </c>
      <c r="C16" s="266">
        <f>IF($B$20&lt;&gt;0, B16/$B$20, "")</f>
        <v>0.5892857142857143</v>
      </c>
      <c r="D16" s="674"/>
      <c r="E16" s="675"/>
      <c r="F16" s="354">
        <f>COUNTIFS(AdultOrChildAtLastEntry,"Child",Gender,0, HouseholdTypeClient, "AdultChild", DuplicateClient, FALSE, LengthOfStay_Total, "&gt;0")</f>
        <v>0</v>
      </c>
      <c r="G16" s="266" t="str">
        <f t="shared" ref="G16:G19" si="0">IF($F$20&lt;&gt;0, F16/$F$20, "")</f>
        <v/>
      </c>
      <c r="H16" s="354">
        <f>COUNTIFS(AdultOrChildAtLastEntry,"Child",Gender,0, HouseholdTypeClient, "HHKidsOnly", DuplicateClient, FALSE, LengthOfStay_Total, "&gt;0")</f>
        <v>33</v>
      </c>
      <c r="I16" s="266">
        <f t="shared" ref="I16:I19" si="1">IF($H$20&lt;&gt;0, H16/$H$20, "")</f>
        <v>0.5892857142857143</v>
      </c>
    </row>
    <row r="17" spans="1:9" ht="15" customHeight="1" thickBot="1">
      <c r="A17" s="265" t="s">
        <v>435</v>
      </c>
      <c r="B17" s="354">
        <f>COUNTIFS(AdultOrChildAtLastEntry,"Child",Gender,"&gt;=2",Gender,"&lt;=3", DuplicateClient, FALSE, LengthOfStay_Total, "&gt;0")</f>
        <v>1</v>
      </c>
      <c r="C17" s="266">
        <f>IF($B$20&lt;&gt;0, B17/$B$20, "")</f>
        <v>1.7857142857142856E-2</v>
      </c>
      <c r="D17" s="674"/>
      <c r="E17" s="675"/>
      <c r="F17" s="354">
        <f>COUNTIFS(AdultOrChildAtLastEntry,"Child",Gender,"&gt;=2",Gender,"&lt;=3", HouseholdTypeClient, "AdultChild", DuplicateClient, FALSE, LengthOfStay_Total, "&gt;0")</f>
        <v>0</v>
      </c>
      <c r="G17" s="266" t="str">
        <f t="shared" si="0"/>
        <v/>
      </c>
      <c r="H17" s="354">
        <f>COUNTIFS(AdultOrChildAtLastEntry,"Child",Gender,"&gt;=2",Gender,"&lt;=3", HouseholdTypeClient, "HHKidsOnly", DuplicateClient, FALSE, LengthOfStay_Total, "&gt;0")</f>
        <v>1</v>
      </c>
      <c r="I17" s="266">
        <f t="shared" si="1"/>
        <v>1.7857142857142856E-2</v>
      </c>
    </row>
    <row r="18" spans="1:9" ht="15" customHeight="1" thickBot="1">
      <c r="A18" s="265" t="s">
        <v>440</v>
      </c>
      <c r="B18" s="354">
        <f>COUNTIFS(AdultOrChildAtLastEntry,"Child",Gender,"&gt;=8", Gender,"&lt;=9", DuplicateClient, FALSE, LengthOfStay_Total, "&gt;0")</f>
        <v>0</v>
      </c>
      <c r="C18" s="266">
        <f>IF($B$20&lt;&gt;0, B18/$B$20, "")</f>
        <v>0</v>
      </c>
      <c r="D18" s="674"/>
      <c r="E18" s="675"/>
      <c r="F18" s="354">
        <f>COUNTIFS(AdultOrChildAtLastEntry,"Child",Gender,"&gt;=8", Gender,"&lt;=9", HouseholdTypeClient, "AdultChild", DuplicateClient, FALSE, LengthOfStay_Total, "&gt;0")</f>
        <v>0</v>
      </c>
      <c r="G18" s="266" t="str">
        <f t="shared" si="0"/>
        <v/>
      </c>
      <c r="H18" s="354">
        <f>COUNTIFS(AdultOrChildAtLastEntry,"Child",Gender,"&gt;=8", Gender,"&lt;=9", HouseholdTypeClient, "HHKidsOnly", DuplicateClient, FALSE, LengthOfStay_Total, "&gt;0")</f>
        <v>0</v>
      </c>
      <c r="I18" s="266">
        <f t="shared" si="1"/>
        <v>0</v>
      </c>
    </row>
    <row r="19" spans="1:9" ht="15" customHeight="1" thickBot="1">
      <c r="A19" s="265" t="s">
        <v>437</v>
      </c>
      <c r="B19" s="354">
        <f>COUNTIFS(AdultOrChildAtLastEntry,"Child",Gender,"", DuplicateClient, FALSE, LengthOfStay_Total, "&gt;0")</f>
        <v>0</v>
      </c>
      <c r="C19" s="266">
        <f>IF($B$20&lt;&gt;0, B19/$B$20, "")</f>
        <v>0</v>
      </c>
      <c r="D19" s="674"/>
      <c r="E19" s="675"/>
      <c r="F19" s="354">
        <f>COUNTIFS(AdultOrChildAtLastEntry,"Child",Gender,"", HouseholdTypeClient, "AdultChild", DuplicateClient, FALSE, LengthOfStay_Total, "&gt;0")</f>
        <v>0</v>
      </c>
      <c r="G19" s="266" t="str">
        <f t="shared" si="0"/>
        <v/>
      </c>
      <c r="H19" s="354">
        <f>COUNTIFS(AdultOrChildAtLastEntry,"Child",Gender,"", HouseholdTypeClient, "HHKidsOnly", DuplicateClient, FALSE, LengthOfStay_Total, "&gt;0")</f>
        <v>0</v>
      </c>
      <c r="I19" s="266">
        <f t="shared" si="1"/>
        <v>0</v>
      </c>
    </row>
    <row r="20" spans="1:9" ht="15" customHeight="1" thickBot="1">
      <c r="A20" s="269" t="s">
        <v>441</v>
      </c>
      <c r="B20" s="268">
        <f>SUM(B15:B19)</f>
        <v>56</v>
      </c>
      <c r="C20" s="355">
        <v>1</v>
      </c>
      <c r="D20" s="674"/>
      <c r="E20" s="675"/>
      <c r="F20" s="268">
        <f>SUM(F15:F19)</f>
        <v>0</v>
      </c>
      <c r="G20" s="268"/>
      <c r="H20" s="268">
        <f>SUM(H15:H19)</f>
        <v>56</v>
      </c>
      <c r="I20" s="355">
        <v>1</v>
      </c>
    </row>
    <row r="21" spans="1:9" ht="15.75" customHeight="1" thickBot="1">
      <c r="A21" s="676" t="s">
        <v>442</v>
      </c>
      <c r="B21" s="677"/>
      <c r="C21" s="678"/>
      <c r="D21" s="677"/>
      <c r="E21" s="678"/>
      <c r="F21" s="677"/>
      <c r="G21" s="678"/>
      <c r="H21" s="677"/>
      <c r="I21" s="679"/>
    </row>
    <row r="22" spans="1:9" ht="15" customHeight="1" thickBot="1">
      <c r="A22" s="265" t="s">
        <v>433</v>
      </c>
      <c r="B22" s="356">
        <f>COUNTIFS(AdultOrChildAtLastEntry, "Unknown",  Gender, 1, DuplicateClient, FALSE,LengthOfStay_Total,"&gt;0")</f>
        <v>0</v>
      </c>
      <c r="C22" s="266" t="str">
        <f>IF($B$27&lt;&gt;0, B22/$B$27, "")</f>
        <v/>
      </c>
      <c r="D22" s="356">
        <f>COUNTIFS(AdultOrChildAtLastEntry, "Unknown",  Gender, 1, HouseholdTypeClient, "HHNoKids", DuplicateClient, FALSE,LengthOfStay_Total,"&gt;0")</f>
        <v>0</v>
      </c>
      <c r="E22" s="266" t="str">
        <f>IF($D$27&lt;&gt;0, D22/$D$27, "")</f>
        <v/>
      </c>
      <c r="F22" s="356">
        <f>COUNTIFS(AdultOrChildAtLastEntry, "Unknown",  Gender, 1, HouseholdTypeClient, "AdultChild", DuplicateClient, FALSE,LengthOfStay_Total,"&gt;0")</f>
        <v>0</v>
      </c>
      <c r="G22" s="266" t="str">
        <f>IF($F$27&lt;&gt;0, F22/$F$27, "")</f>
        <v/>
      </c>
      <c r="H22" s="356">
        <f>COUNTIFS(AdultOrChildAtLastEntry, "Unknown",  Gender, 1, HouseholdTypeClient, "HHKidsOnly", DuplicateClient, FALSE,LengthOfStay_Total,"&gt;0")</f>
        <v>0</v>
      </c>
      <c r="I22" s="266" t="str">
        <f>IF($H$27&lt;&gt;0, H22/$H$27, "")</f>
        <v/>
      </c>
    </row>
    <row r="23" spans="1:9" ht="15" customHeight="1" thickBot="1">
      <c r="A23" s="265" t="s">
        <v>434</v>
      </c>
      <c r="B23" s="356">
        <f>COUNTIFS(AdultOrChildAtLastEntry,"Unknown",  Gender, 0, DuplicateClient, FALSE, LengthOfStay_Total, "&gt;0")</f>
        <v>0</v>
      </c>
      <c r="C23" s="266" t="str">
        <f t="shared" ref="C23:C26" si="2">IF($B$27&lt;&gt;0, B23/$B$27, "")</f>
        <v/>
      </c>
      <c r="D23" s="356">
        <f>COUNTIFS(AdultOrChildAtLastEntry,"Unknown",  Gender, 0, HouseholdTypeClient, "HHNoKids", DuplicateClient, FALSE, LengthOfStay_Total, "&gt;0")</f>
        <v>0</v>
      </c>
      <c r="E23" s="266" t="str">
        <f t="shared" ref="E23:E26" si="3">IF($D$27&lt;&gt;0, D23/$D$27, "")</f>
        <v/>
      </c>
      <c r="F23" s="356">
        <f>COUNTIFS(AdultOrChildAtLastEntry,"Unknown",  Gender, 0, HouseholdTypeClient, "AdultChild", DuplicateClient, FALSE, LengthOfStay_Total, "&gt;0")</f>
        <v>0</v>
      </c>
      <c r="G23" s="266" t="str">
        <f t="shared" ref="G23:G26" si="4">IF($F$27&lt;&gt;0, F23/$F$27, "")</f>
        <v/>
      </c>
      <c r="H23" s="356">
        <f>COUNTIFS(AdultOrChildAtLastEntry,"Unknown",  Gender, 0, HouseholdTypeClient, "HHKidsOnly", DuplicateClient, FALSE, LengthOfStay_Total, "&gt;0")</f>
        <v>0</v>
      </c>
      <c r="I23" s="266" t="str">
        <f t="shared" ref="I23:I26" si="5">IF($H$27&lt;&gt;0, H23/$H$27, "")</f>
        <v/>
      </c>
    </row>
    <row r="24" spans="1:9" ht="15" customHeight="1" thickBot="1">
      <c r="A24" s="265" t="s">
        <v>435</v>
      </c>
      <c r="B24" s="356">
        <f>COUNTIFS(AdultOrChildAtLastEntry, "Unknown",  Gender," &gt;=2",  Gender,"&lt;=3", DuplicateClient,FALSE,LengthOfStay_Total,"&gt;0")</f>
        <v>0</v>
      </c>
      <c r="C24" s="266" t="str">
        <f t="shared" si="2"/>
        <v/>
      </c>
      <c r="D24" s="356">
        <f>COUNTIFS(AdultOrChildAtLastEntry, "Unknown",  Gender," &gt;=2",  Gender,"&lt;=3", HouseholdTypeClient, "HHNoKids", DuplicateClient,FALSE,LengthOfStay_Total,"&gt;0")</f>
        <v>0</v>
      </c>
      <c r="E24" s="266" t="str">
        <f t="shared" si="3"/>
        <v/>
      </c>
      <c r="F24" s="356">
        <f>COUNTIFS(AdultOrChildAtLastEntry, "Unknown",  Gender," &gt;=2",  Gender,"&lt;=3", HouseholdTypeClient, "AdultChild", DuplicateClient,FALSE,LengthOfStay_Total,"&gt;0")</f>
        <v>0</v>
      </c>
      <c r="G24" s="266" t="str">
        <f t="shared" si="4"/>
        <v/>
      </c>
      <c r="H24" s="356">
        <f>COUNTIFS(AdultOrChildAtLastEntry, "Unknown",  Gender," &gt;=2",  Gender,"&lt;=3", HouseholdTypeClient, "HHKidsOnly", DuplicateClient,FALSE,LengthOfStay_Total,"&gt;0")</f>
        <v>0</v>
      </c>
      <c r="I24" s="266" t="str">
        <f t="shared" si="5"/>
        <v/>
      </c>
    </row>
    <row r="25" spans="1:9" ht="15" customHeight="1" thickBot="1">
      <c r="A25" s="265" t="s">
        <v>436</v>
      </c>
      <c r="B25" s="356">
        <f>COUNTIFS(AdultOrChildAtLastEntry, "Unknown",  Gender," &gt;=8",  Gender,"&lt;=9", DuplicateClient, FALSE, LengthOfStay_Total, "&gt;0")</f>
        <v>0</v>
      </c>
      <c r="C25" s="266" t="str">
        <f t="shared" si="2"/>
        <v/>
      </c>
      <c r="D25" s="356">
        <f>COUNTIFS(AdultOrChildAtLastEntry, "Unknown",  Gender," &gt;=8",  Gender,"&lt;=9", HouseholdTypeClient, "HHNoKids", DuplicateClient, FALSE, LengthOfStay_Total, "&gt;0")</f>
        <v>0</v>
      </c>
      <c r="E25" s="266" t="str">
        <f t="shared" si="3"/>
        <v/>
      </c>
      <c r="F25" s="356">
        <f>COUNTIFS(AdultOrChildAtLastEntry, "Unknown",  Gender," &gt;=8",  Gender,"&lt;=9", HouseholdTypeClient, "AdultChild", DuplicateClient, FALSE, LengthOfStay_Total, "&gt;0")</f>
        <v>0</v>
      </c>
      <c r="G25" s="266" t="str">
        <f t="shared" si="4"/>
        <v/>
      </c>
      <c r="H25" s="356">
        <f>COUNTIFS(AdultOrChildAtLastEntry, "Unknown",  Gender," &gt;=8",  Gender,"&lt;=9", HouseholdTypeClient, "HHKidsOnly", DuplicateClient, FALSE, LengthOfStay_Total, "&gt;0")</f>
        <v>0</v>
      </c>
      <c r="I25" s="266" t="str">
        <f t="shared" si="5"/>
        <v/>
      </c>
    </row>
    <row r="26" spans="1:9" ht="15" customHeight="1" thickBot="1">
      <c r="A26" s="265" t="s">
        <v>437</v>
      </c>
      <c r="B26" s="356">
        <f>COUNTIFS(AdultOrChildAtLastEntry, "Unknown",  Gender, "", DuplicateClient, FALSE, LengthOfStay_Total, "&gt;0")</f>
        <v>0</v>
      </c>
      <c r="C26" s="266" t="str">
        <f t="shared" si="2"/>
        <v/>
      </c>
      <c r="D26" s="356">
        <f>COUNTIFS(AdultOrChildAtLastEntry, "Unknown",  Gender, "", HouseholdTypeClient, "HHNoKids", DuplicateClient, FALSE, LengthOfStay_Total, "&gt;0")</f>
        <v>0</v>
      </c>
      <c r="E26" s="266" t="str">
        <f t="shared" si="3"/>
        <v/>
      </c>
      <c r="F26" s="356">
        <f>COUNTIFS(AdultOrChildAtLastEntry, "Unknown",  Gender, "", HouseholdTypeClient, "AdultChild", DuplicateClient, FALSE, LengthOfStay_Total, "&gt;0")</f>
        <v>0</v>
      </c>
      <c r="G26" s="266" t="str">
        <f t="shared" si="4"/>
        <v/>
      </c>
      <c r="H26" s="356">
        <f>COUNTIFS(AdultOrChildAtLastEntry, "Unknown",  Gender, "", HouseholdTypeClient, "HHKidsOnly", DuplicateClient, FALSE, LengthOfStay_Total, "&gt;0")</f>
        <v>0</v>
      </c>
      <c r="I26" s="266" t="str">
        <f t="shared" si="5"/>
        <v/>
      </c>
    </row>
    <row r="27" spans="1:9" ht="28.5" customHeight="1" thickBot="1">
      <c r="A27" s="270" t="s">
        <v>443</v>
      </c>
      <c r="B27" s="271">
        <f>SUM(B22:B26)</f>
        <v>0</v>
      </c>
      <c r="C27" s="357">
        <v>1</v>
      </c>
      <c r="D27" s="271">
        <f>SUM(D22:D26)</f>
        <v>0</v>
      </c>
      <c r="E27" s="357">
        <v>1</v>
      </c>
      <c r="F27" s="271">
        <f>SUM(F22:F26)</f>
        <v>0</v>
      </c>
      <c r="G27" s="357">
        <v>1</v>
      </c>
      <c r="H27" s="271">
        <f>SUM(H22:H26)</f>
        <v>0</v>
      </c>
      <c r="I27" s="357">
        <v>1</v>
      </c>
    </row>
    <row r="28" spans="1:9" ht="18.75" customHeight="1" thickTop="1" thickBot="1">
      <c r="A28" s="272" t="s">
        <v>116</v>
      </c>
      <c r="B28" s="273">
        <f>B13+B20+B27</f>
        <v>128</v>
      </c>
      <c r="C28" s="358">
        <v>1</v>
      </c>
      <c r="D28" s="273">
        <f>D13+D20+D27</f>
        <v>72</v>
      </c>
      <c r="E28" s="358">
        <v>1</v>
      </c>
      <c r="F28" s="273">
        <f>F13+F20+F27</f>
        <v>0</v>
      </c>
      <c r="G28" s="358">
        <v>1</v>
      </c>
      <c r="H28" s="273">
        <f>H13+H20+H27</f>
        <v>56</v>
      </c>
      <c r="I28" s="358">
        <v>1</v>
      </c>
    </row>
  </sheetData>
  <mergeCells count="14">
    <mergeCell ref="A1:I1"/>
    <mergeCell ref="A2:I2"/>
    <mergeCell ref="A3:I3"/>
    <mergeCell ref="A4:A6"/>
    <mergeCell ref="B4:C5"/>
    <mergeCell ref="D4:E5"/>
    <mergeCell ref="F4:I4"/>
    <mergeCell ref="F5:G5"/>
    <mergeCell ref="H5:I5"/>
    <mergeCell ref="H8:I13"/>
    <mergeCell ref="D15:E20"/>
    <mergeCell ref="A21:I21"/>
    <mergeCell ref="A14:I14"/>
    <mergeCell ref="A7:I7"/>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sheetPr codeName="Sheet10"/>
  <dimension ref="A1:I47"/>
  <sheetViews>
    <sheetView workbookViewId="0">
      <selection activeCell="B9" sqref="B9"/>
    </sheetView>
  </sheetViews>
  <sheetFormatPr defaultRowHeight="15"/>
  <cols>
    <col min="1" max="1" width="24.7109375" customWidth="1"/>
    <col min="2" max="2" width="6.85546875" customWidth="1"/>
    <col min="3" max="3" width="6.42578125" customWidth="1"/>
    <col min="4" max="4" width="6.7109375" customWidth="1"/>
    <col min="5" max="6" width="8.28515625" customWidth="1"/>
    <col min="7" max="7" width="12.85546875" customWidth="1"/>
    <col min="8" max="8" width="7" customWidth="1"/>
    <col min="9" max="9" width="8.85546875" customWidth="1"/>
  </cols>
  <sheetData>
    <row r="1" spans="1:9" ht="14.25" customHeight="1" thickTop="1">
      <c r="A1" s="517" t="s">
        <v>445</v>
      </c>
      <c r="B1" s="518"/>
      <c r="C1" s="518"/>
      <c r="D1" s="518"/>
      <c r="E1" s="518"/>
      <c r="F1" s="518"/>
      <c r="G1" s="518"/>
      <c r="H1" s="518"/>
      <c r="I1" s="519"/>
    </row>
    <row r="2" spans="1:9" ht="12.75" customHeight="1">
      <c r="A2" s="728" t="s">
        <v>15</v>
      </c>
      <c r="B2" s="729"/>
      <c r="C2" s="729"/>
      <c r="D2" s="729"/>
      <c r="E2" s="729"/>
      <c r="F2" s="729"/>
      <c r="G2" s="729"/>
      <c r="H2" s="729"/>
      <c r="I2" s="730"/>
    </row>
    <row r="3" spans="1:9" ht="12.75" customHeight="1" thickBot="1">
      <c r="A3" s="731" t="s">
        <v>221</v>
      </c>
      <c r="B3" s="732"/>
      <c r="C3" s="732"/>
      <c r="D3" s="732"/>
      <c r="E3" s="732"/>
      <c r="F3" s="732"/>
      <c r="G3" s="732"/>
      <c r="H3" s="732"/>
      <c r="I3" s="733"/>
    </row>
    <row r="4" spans="1:9" ht="15" customHeight="1">
      <c r="A4" s="717" t="s">
        <v>446</v>
      </c>
      <c r="B4" s="739" t="s">
        <v>447</v>
      </c>
      <c r="C4" s="739"/>
      <c r="D4" s="707" t="s">
        <v>598</v>
      </c>
      <c r="E4" s="707"/>
      <c r="F4" s="707" t="s">
        <v>597</v>
      </c>
      <c r="G4" s="707"/>
      <c r="H4" s="707"/>
      <c r="I4" s="718"/>
    </row>
    <row r="5" spans="1:9" ht="26.25" customHeight="1">
      <c r="A5" s="502"/>
      <c r="B5" s="740"/>
      <c r="C5" s="740"/>
      <c r="D5" s="708"/>
      <c r="E5" s="708"/>
      <c r="F5" s="712" t="s">
        <v>119</v>
      </c>
      <c r="G5" s="712"/>
      <c r="H5" s="712" t="s">
        <v>120</v>
      </c>
      <c r="I5" s="713"/>
    </row>
    <row r="6" spans="1:9" ht="15" customHeight="1">
      <c r="A6" s="502"/>
      <c r="B6" s="286" t="s">
        <v>242</v>
      </c>
      <c r="C6" s="287" t="s">
        <v>519</v>
      </c>
      <c r="D6" s="285" t="s">
        <v>242</v>
      </c>
      <c r="E6" s="287" t="s">
        <v>519</v>
      </c>
      <c r="F6" s="286" t="s">
        <v>242</v>
      </c>
      <c r="G6" s="287" t="s">
        <v>519</v>
      </c>
      <c r="H6" s="286" t="s">
        <v>242</v>
      </c>
      <c r="I6" s="288" t="s">
        <v>519</v>
      </c>
    </row>
    <row r="7" spans="1:9" ht="15" customHeight="1">
      <c r="A7" s="291" t="s">
        <v>448</v>
      </c>
      <c r="B7" s="289">
        <f>COUNTIFS(AgeAtLastEntry, "&lt;5",DuplicateClient, FALSE,AdultOrChildAtLastEntry,"&lt;&gt;Unknown", LengthOfStay_Total, "&gt;0")</f>
        <v>22</v>
      </c>
      <c r="C7" s="305">
        <f>IF($B$18&lt;&gt;0, B7/$B$18, "")</f>
        <v>0.16176470588235295</v>
      </c>
      <c r="D7" s="719" t="s">
        <v>444</v>
      </c>
      <c r="E7" s="734"/>
      <c r="F7" s="289">
        <f>COUNTIFS(AgeAtLastEntry, "&lt;5", HouseholdTypeClient, "AdultChild", DuplicateClient, FALSE,AdultOrChildAtLastEntry,"&lt;&gt;Unknown", LengthOfStay_Total, "&gt;0")</f>
        <v>0</v>
      </c>
      <c r="G7" s="305" t="str">
        <f>IF($F$18&lt;&gt;0, (F7/$F$18), "")</f>
        <v/>
      </c>
      <c r="H7" s="289">
        <f>COUNTIFS(AgeAtLastEntry, "&lt;5", HouseholdTypeClient, "HHKidsOnly", DuplicateClient, FALSE,AdultOrChildAtLastEntry,"&lt;&gt;Unknown", LengthOfStay_Total, "&gt;0")</f>
        <v>22</v>
      </c>
      <c r="I7" s="306">
        <f>IF($H$18&lt;&gt;0, (H7/$H$18), "")</f>
        <v>0.36666666666666664</v>
      </c>
    </row>
    <row r="8" spans="1:9" ht="15" customHeight="1">
      <c r="A8" s="291" t="s">
        <v>450</v>
      </c>
      <c r="B8" s="289">
        <f>COUNTIFS(AgeAtLastEntry, "&gt;=5",AgeAtLastEntry, "&lt;13", DuplicateClient, FALSE, LengthOfStay_Total, "&gt;0")</f>
        <v>22</v>
      </c>
      <c r="C8" s="305">
        <f t="shared" ref="C8:C17" si="0">IF($B$18&lt;&gt;0, B8/$B$18, "")</f>
        <v>0.16176470588235295</v>
      </c>
      <c r="D8" s="735"/>
      <c r="E8" s="736"/>
      <c r="F8" s="289">
        <f>COUNTIFS(AgeAtLastEntry, "&gt;=5",AgeAtLastEntry, "&lt;13",  HouseholdTypeClient, "AdultChild", DuplicateClient, FALSE, LengthOfStay_Total, "&gt;0")</f>
        <v>0</v>
      </c>
      <c r="G8" s="305" t="str">
        <f t="shared" ref="G8:G17" si="1">IF($F$18&lt;&gt;0, (F8/$F$18), "")</f>
        <v/>
      </c>
      <c r="H8" s="289">
        <f>COUNTIFS(AgeAtLastEntry, "&gt;=5",AgeAtLastEntry, "&lt;13",  HouseholdTypeClient, "HHKidsOnly", DuplicateClient, FALSE, LengthOfStay_Total, "&gt;0")</f>
        <v>22</v>
      </c>
      <c r="I8" s="306">
        <f t="shared" ref="I8:I9" si="2">IF($H$18&lt;&gt;0, (H8/$H$18), "")</f>
        <v>0.36666666666666664</v>
      </c>
    </row>
    <row r="9" spans="1:9" ht="15" customHeight="1">
      <c r="A9" s="291" t="s">
        <v>452</v>
      </c>
      <c r="B9" s="289">
        <f>COUNTIFS(AgeAtLastEntry, "&gt;=13",AgeAtLastEntry, "&lt;18", DuplicateClient, FALSE, LengthOfStay_Total, "&gt;0")</f>
        <v>14</v>
      </c>
      <c r="C9" s="305">
        <f t="shared" si="0"/>
        <v>0.10294117647058823</v>
      </c>
      <c r="D9" s="737"/>
      <c r="E9" s="738"/>
      <c r="F9" s="289">
        <f>COUNTIFS(AgeAtLastEntry, "&gt;=13",AgeAtLastEntry, "&lt;18",  HouseholdTypeClient, "AdultChild", DuplicateClient, FALSE, LengthOfStay_Total, "&gt;0")</f>
        <v>0</v>
      </c>
      <c r="G9" s="305" t="str">
        <f t="shared" si="1"/>
        <v/>
      </c>
      <c r="H9" s="289">
        <f>COUNTIFS(AgeAtLastEntry, "&gt;=13",AgeAtLastEntry, "&lt;18",  HouseholdTypeClient, "HHKidsOnly", DuplicateClient, FALSE, LengthOfStay_Total, "&gt;0")</f>
        <v>14</v>
      </c>
      <c r="I9" s="306">
        <f t="shared" si="2"/>
        <v>0.23333333333333334</v>
      </c>
    </row>
    <row r="10" spans="1:9" ht="15" customHeight="1">
      <c r="A10" s="291" t="s">
        <v>454</v>
      </c>
      <c r="B10" s="289">
        <f>COUNTIFS(AgeAtLastEntry, "&gt;=18",AgeAtLastEntry, "&lt;25", DuplicateClient, FALSE, LengthOfStay_Total, "&gt;0")</f>
        <v>12</v>
      </c>
      <c r="C10" s="305">
        <f t="shared" si="0"/>
        <v>8.8235294117647065E-2</v>
      </c>
      <c r="D10" s="289">
        <f>COUNTIFS(AgeAtLastEntry, "&gt;=18",AgeAtLastEntry, "&lt;25", HouseholdTypeClient, "HHNoKids", DuplicateClient, FALSE, LengthOfStay_Total, "&gt;0")</f>
        <v>12</v>
      </c>
      <c r="E10" s="274">
        <f>IF($D$18&lt;&gt;0, (D10/$D$18), "")</f>
        <v>0.15789473684210525</v>
      </c>
      <c r="F10" s="289">
        <f>COUNTIFS(AgeAtLastEntry, "&gt;=18",AgeAtLastEntry, "&lt;25", HouseholdTypeClient, "AdultChild", DuplicateClient, FALSE, LengthOfStay_Total, "&gt;0")</f>
        <v>0</v>
      </c>
      <c r="G10" s="305" t="str">
        <f t="shared" si="1"/>
        <v/>
      </c>
      <c r="H10" s="719" t="s">
        <v>444</v>
      </c>
      <c r="I10" s="720"/>
    </row>
    <row r="11" spans="1:9" ht="15" customHeight="1">
      <c r="A11" s="291" t="s">
        <v>455</v>
      </c>
      <c r="B11" s="289">
        <f>COUNTIFS(AgeAtLastEntry, "&gt;=25",AgeAtLastEntry, "&lt;35", DuplicateClient, FALSE, LengthOfStay_Total, "&gt;0")</f>
        <v>13</v>
      </c>
      <c r="C11" s="305">
        <f t="shared" si="0"/>
        <v>9.5588235294117641E-2</v>
      </c>
      <c r="D11" s="289">
        <f>COUNTIFS(AgeAtLastEntry, "&gt;=25",AgeAtLastEntry, "&lt;35", HouseholdTypeClient, "HHNoKids", DuplicateClient, FALSE, LengthOfStay_Total, "&gt;0")</f>
        <v>13</v>
      </c>
      <c r="E11" s="274">
        <f t="shared" ref="E11:E17" si="3">IF($D$18&lt;&gt;0, (D11/$D$18), "")</f>
        <v>0.17105263157894737</v>
      </c>
      <c r="F11" s="289">
        <f>COUNTIFS(AgeAtLastEntry, "&gt;=25",AgeAtLastEntry, "&lt;35", HouseholdTypeClient, "AdultChild", DuplicateClient, FALSE, LengthOfStay_Total, "&gt;0")</f>
        <v>0</v>
      </c>
      <c r="G11" s="305" t="str">
        <f t="shared" si="1"/>
        <v/>
      </c>
      <c r="H11" s="721"/>
      <c r="I11" s="722"/>
    </row>
    <row r="12" spans="1:9" ht="15" customHeight="1">
      <c r="A12" s="291" t="s">
        <v>457</v>
      </c>
      <c r="B12" s="289">
        <f>COUNTIFS(AgeAtLastEntry, "&gt;=35",AgeAtLastEntry, "&lt;45", DuplicateClient, FALSE, LengthOfStay_Total, "&gt;0")</f>
        <v>17</v>
      </c>
      <c r="C12" s="305">
        <f t="shared" si="0"/>
        <v>0.125</v>
      </c>
      <c r="D12" s="289">
        <f>COUNTIFS(AgeAtLastEntry, "&gt;=35",AgeAtLastEntry, "&lt;45", HouseholdTypeClient, "HHNoKids", DuplicateClient, FALSE, LengthOfStay_Total, "&gt;0")</f>
        <v>17</v>
      </c>
      <c r="E12" s="274">
        <f t="shared" si="3"/>
        <v>0.22368421052631579</v>
      </c>
      <c r="F12" s="289">
        <f>COUNTIFS(AgeAtLastEntry, "&gt;=35",AgeAtLastEntry, "&lt;45", HouseholdTypeClient, "AdultChild", DuplicateClient, FALSE, LengthOfStay_Total, "&gt;0")</f>
        <v>0</v>
      </c>
      <c r="G12" s="305" t="str">
        <f t="shared" si="1"/>
        <v/>
      </c>
      <c r="H12" s="721"/>
      <c r="I12" s="722"/>
    </row>
    <row r="13" spans="1:9" ht="15" customHeight="1">
      <c r="A13" s="291" t="s">
        <v>459</v>
      </c>
      <c r="B13" s="289">
        <f>COUNTIFS(AgeAtLastEntry, "&gt;=45",AgeAtLastEntry, "&lt;55", DuplicateClient, FALSE, LengthOfStay_Total, "&gt;0")</f>
        <v>19</v>
      </c>
      <c r="C13" s="305">
        <f t="shared" si="0"/>
        <v>0.13970588235294118</v>
      </c>
      <c r="D13" s="289">
        <f>COUNTIFS(AgeAtLastEntry, "&gt;=45",AgeAtLastEntry, "&lt;55", HouseholdTypeClient, "HHNoKids", DuplicateClient, FALSE, LengthOfStay_Total, "&gt;0")</f>
        <v>19</v>
      </c>
      <c r="E13" s="274">
        <f t="shared" si="3"/>
        <v>0.25</v>
      </c>
      <c r="F13" s="289">
        <f>COUNTIFS(AgeAtLastEntry, "&gt;=45",AgeAtLastEntry, "&lt;55", HouseholdTypeClient, "AdultChild", DuplicateClient, FALSE, LengthOfStay_Total, "&gt;0")</f>
        <v>0</v>
      </c>
      <c r="G13" s="305" t="str">
        <f t="shared" si="1"/>
        <v/>
      </c>
      <c r="H13" s="721"/>
      <c r="I13" s="722"/>
    </row>
    <row r="14" spans="1:9" ht="15" customHeight="1">
      <c r="A14" s="291" t="s">
        <v>461</v>
      </c>
      <c r="B14" s="289">
        <f>COUNTIFS(AgeAtLastEntry, "&gt;=55",AgeAtLastEntry, "&lt;62", DuplicateClient, FALSE, LengthOfStay_Total, "&gt;0")</f>
        <v>7</v>
      </c>
      <c r="C14" s="305">
        <f t="shared" si="0"/>
        <v>5.1470588235294115E-2</v>
      </c>
      <c r="D14" s="289">
        <f>COUNTIFS(AgeAtLastEntry, "&gt;=55",AgeAtLastEntry, "&lt;62", HouseholdTypeClient, "HHNoKids", DuplicateClient, FALSE, LengthOfStay_Total, "&gt;0")</f>
        <v>7</v>
      </c>
      <c r="E14" s="274">
        <f t="shared" si="3"/>
        <v>9.2105263157894732E-2</v>
      </c>
      <c r="F14" s="289">
        <f>COUNTIFS(AgeAtLastEntry, "&gt;=55",AgeAtLastEntry, "&lt;62", HouseholdTypeClient, "AdultChild", DuplicateClient, FALSE, LengthOfStay_Total, "&gt;0")</f>
        <v>0</v>
      </c>
      <c r="G14" s="305" t="str">
        <f t="shared" si="1"/>
        <v/>
      </c>
      <c r="H14" s="721"/>
      <c r="I14" s="722"/>
    </row>
    <row r="15" spans="1:9" ht="15" customHeight="1">
      <c r="A15" s="291" t="s">
        <v>463</v>
      </c>
      <c r="B15" s="289">
        <f>COUNTIFS(AgeAtLastEntry, "&gt;=62", DuplicateClient, FALSE, LengthOfStay_Total, "&gt;0")</f>
        <v>5</v>
      </c>
      <c r="C15" s="305">
        <f t="shared" si="0"/>
        <v>3.6764705882352942E-2</v>
      </c>
      <c r="D15" s="289">
        <f>COUNTIFS(AgeAtLastEntry, "&gt;=62", HouseholdTypeClient, "HHNoKids", DuplicateClient, FALSE, LengthOfStay_Total, "&gt;0")</f>
        <v>5</v>
      </c>
      <c r="E15" s="274">
        <f t="shared" si="3"/>
        <v>6.5789473684210523E-2</v>
      </c>
      <c r="F15" s="289">
        <f>COUNTIFS(AgeAtLastEntry, "&gt;=62", HouseholdTypeClient, "AdultChild", DuplicateClient, FALSE, LengthOfStay_Total, "&gt;0")</f>
        <v>0</v>
      </c>
      <c r="G15" s="305" t="str">
        <f t="shared" si="1"/>
        <v/>
      </c>
      <c r="H15" s="723"/>
      <c r="I15" s="724"/>
    </row>
    <row r="16" spans="1:9" ht="15" customHeight="1">
      <c r="A16" s="291" t="s">
        <v>436</v>
      </c>
      <c r="B16" s="289">
        <f>COUNTIFS(DateOfBirthQualityCode, "&gt;=8",DateOfBirthQualityCode, "&lt;=9",DuplicateClient, FALSE, LengthOfStay_Total, "&gt;0")</f>
        <v>3</v>
      </c>
      <c r="C16" s="305">
        <f t="shared" si="0"/>
        <v>2.2058823529411766E-2</v>
      </c>
      <c r="D16" s="289">
        <f>COUNTIFS(DateOfBirthQualityCode, "&gt;=8", DateOfBirthQualityCode, "&lt;=9", HouseholdTypeClient, "HHNoKids", DuplicateClient, FALSE, LengthOfStay_Total, "&gt;0")</f>
        <v>3</v>
      </c>
      <c r="E16" s="274">
        <f t="shared" si="3"/>
        <v>3.9473684210526314E-2</v>
      </c>
      <c r="F16" s="289">
        <f>COUNTIFS(DateOfBirthQualityCode, "&gt;=8", DateOfBirthQualityCode, "&lt;=9", HouseholdTypeClient, "AdultChild", DuplicateClient, FALSE, LengthOfStay_Total, "&gt;0")</f>
        <v>0</v>
      </c>
      <c r="G16" s="305" t="str">
        <f t="shared" si="1"/>
        <v/>
      </c>
      <c r="H16" s="289">
        <f>COUNTIFS(DateOfBirthQualityCode, "&gt;=8", DateOfBirthQualityCode, "&lt;=9", HouseholdTypeClient, "HHKidsOnly", DuplicateClient, FALSE, LengthOfStay_Total, "&gt;0")</f>
        <v>0</v>
      </c>
      <c r="I16" s="307">
        <f>IF($H$18&lt;&gt;0, (H16/$H$18), "")</f>
        <v>0</v>
      </c>
    </row>
    <row r="17" spans="1:9" ht="15" customHeight="1" thickBot="1">
      <c r="A17" s="184" t="s">
        <v>437</v>
      </c>
      <c r="B17" s="290">
        <f>COUNTIFS(AgeAtLastEntry, "0", DuplicateClient, FALSE, LengthOfStay_Total, "&gt;0")</f>
        <v>2</v>
      </c>
      <c r="C17" s="305">
        <f t="shared" si="0"/>
        <v>1.4705882352941176E-2</v>
      </c>
      <c r="D17" s="290">
        <f>COUNTIFS(AgeAtLastEntry, "0", HouseholdTypeClient, "HHNoKids", DuplicateClient, FALSE, LengthOfStay_Total, "&gt;0")</f>
        <v>0</v>
      </c>
      <c r="E17" s="274">
        <f t="shared" si="3"/>
        <v>0</v>
      </c>
      <c r="F17" s="290">
        <f>COUNTIFS(AgeAtLastEntry, "0", HouseholdTypeClient, "AdultChild", DuplicateClient, FALSE, LengthOfStay_Total, "&gt;0")</f>
        <v>0</v>
      </c>
      <c r="G17" s="305" t="str">
        <f t="shared" si="1"/>
        <v/>
      </c>
      <c r="H17" s="290">
        <f>COUNTIFS(AgeAtLastEntry, "0", HouseholdTypeClient, "HHKidsOnly", DuplicateClient, FALSE, LengthOfStay_Total, "&gt;0")</f>
        <v>2</v>
      </c>
      <c r="I17" s="307">
        <f>IF($H$18&lt;&gt;0, (H17/$H$18), "")</f>
        <v>3.3333333333333333E-2</v>
      </c>
    </row>
    <row r="18" spans="1:9" ht="15" customHeight="1" thickBot="1">
      <c r="A18" s="185" t="s">
        <v>116</v>
      </c>
      <c r="B18" s="186">
        <f>SUM(B7:B17)</f>
        <v>136</v>
      </c>
      <c r="C18" s="187">
        <v>1</v>
      </c>
      <c r="D18" s="188">
        <f>SUM(D10:D17)</f>
        <v>76</v>
      </c>
      <c r="E18" s="187">
        <v>1</v>
      </c>
      <c r="F18" s="186">
        <f>SUM(F7:F17)</f>
        <v>0</v>
      </c>
      <c r="G18" s="187">
        <v>1</v>
      </c>
      <c r="H18" s="186">
        <f>SUM(H7:H9,H16:H17)</f>
        <v>60</v>
      </c>
      <c r="I18" s="189">
        <v>1</v>
      </c>
    </row>
    <row r="19" spans="1:9" ht="14.25" customHeight="1" thickBot="1"/>
    <row r="20" spans="1:9" ht="13.5" customHeight="1">
      <c r="A20" s="725" t="s">
        <v>467</v>
      </c>
      <c r="B20" s="726"/>
      <c r="C20" s="726"/>
      <c r="D20" s="726"/>
      <c r="E20" s="726"/>
      <c r="F20" s="726"/>
      <c r="G20" s="726"/>
      <c r="H20" s="726"/>
      <c r="I20" s="727"/>
    </row>
    <row r="21" spans="1:9" ht="12.75" customHeight="1">
      <c r="A21" s="728" t="s">
        <v>15</v>
      </c>
      <c r="B21" s="729"/>
      <c r="C21" s="729"/>
      <c r="D21" s="729"/>
      <c r="E21" s="729"/>
      <c r="F21" s="729"/>
      <c r="G21" s="729"/>
      <c r="H21" s="729"/>
      <c r="I21" s="730"/>
    </row>
    <row r="22" spans="1:9" ht="12" customHeight="1" thickBot="1">
      <c r="A22" s="731" t="s">
        <v>221</v>
      </c>
      <c r="B22" s="732"/>
      <c r="C22" s="732"/>
      <c r="D22" s="732"/>
      <c r="E22" s="732"/>
      <c r="F22" s="732"/>
      <c r="G22" s="732"/>
      <c r="H22" s="732"/>
      <c r="I22" s="733"/>
    </row>
    <row r="23" spans="1:9" ht="12.75" customHeight="1">
      <c r="A23" s="717" t="s">
        <v>468</v>
      </c>
      <c r="B23" s="707" t="s">
        <v>116</v>
      </c>
      <c r="C23" s="707"/>
      <c r="D23" s="707" t="s">
        <v>598</v>
      </c>
      <c r="E23" s="707"/>
      <c r="F23" s="707" t="s">
        <v>597</v>
      </c>
      <c r="G23" s="707"/>
      <c r="H23" s="707"/>
      <c r="I23" s="718"/>
    </row>
    <row r="24" spans="1:9" ht="27" customHeight="1">
      <c r="A24" s="502"/>
      <c r="B24" s="708"/>
      <c r="C24" s="708"/>
      <c r="D24" s="708"/>
      <c r="E24" s="708"/>
      <c r="F24" s="712" t="s">
        <v>119</v>
      </c>
      <c r="G24" s="712"/>
      <c r="H24" s="712" t="s">
        <v>120</v>
      </c>
      <c r="I24" s="713"/>
    </row>
    <row r="25" spans="1:9" ht="15.75" customHeight="1">
      <c r="A25" s="502"/>
      <c r="B25" s="286" t="s">
        <v>242</v>
      </c>
      <c r="C25" s="287" t="s">
        <v>519</v>
      </c>
      <c r="D25" s="286" t="s">
        <v>242</v>
      </c>
      <c r="E25" s="287" t="s">
        <v>519</v>
      </c>
      <c r="F25" s="286" t="s">
        <v>242</v>
      </c>
      <c r="G25" s="287" t="s">
        <v>519</v>
      </c>
      <c r="H25" s="286" t="s">
        <v>242</v>
      </c>
      <c r="I25" s="288" t="s">
        <v>519</v>
      </c>
    </row>
    <row r="26" spans="1:9">
      <c r="A26" s="714" t="s">
        <v>470</v>
      </c>
      <c r="B26" s="715"/>
      <c r="C26" s="715"/>
      <c r="D26" s="715"/>
      <c r="E26" s="715"/>
      <c r="F26" s="715"/>
      <c r="G26" s="715"/>
      <c r="H26" s="715"/>
      <c r="I26" s="716"/>
    </row>
    <row r="27" spans="1:9" ht="15" customHeight="1">
      <c r="A27" s="182" t="s">
        <v>471</v>
      </c>
      <c r="B27" s="348">
        <f>COUNTIFS(Ethnicity, 0, DuplicateClient, FALSE, LengthOfStay_Total, "&gt;0")</f>
        <v>122</v>
      </c>
      <c r="C27" s="305">
        <f>IF($B$31&lt;&gt;0, (B27/$B$31), "")</f>
        <v>0.9242424242424242</v>
      </c>
      <c r="D27" s="348">
        <f>COUNTIFS(Ethnicity, 0, HouseholdTypeClient, "HHNoKids", DuplicateClient, FALSE, LengthOfStay_Total, "&gt;0")</f>
        <v>67</v>
      </c>
      <c r="E27" s="305">
        <f>IF($D$31&lt;&gt;0, (D27/$D$31), "")</f>
        <v>0.9178082191780822</v>
      </c>
      <c r="F27" s="348">
        <f>COUNTIFS(Ethnicity, 0, HouseholdTypeClient, "AdultChild", DuplicateClient, FALSE, LengthOfStay_Total, "&gt;0")</f>
        <v>0</v>
      </c>
      <c r="G27" s="305" t="str">
        <f>IF($F$31&lt;&gt;0, (F27/$F$31), "")</f>
        <v/>
      </c>
      <c r="H27" s="348">
        <f>COUNTIFS(Ethnicity, 0, HouseholdTypeClient, "HHKidsOnly", DuplicateClient, FALSE, LengthOfStay_Total, "&gt;0")</f>
        <v>54</v>
      </c>
      <c r="I27" s="353">
        <f>IF(H$31&lt;&gt;0, (H27/$H$31), "")</f>
        <v>0.93103448275862066</v>
      </c>
    </row>
    <row r="28" spans="1:9" ht="15" customHeight="1">
      <c r="A28" s="182" t="s">
        <v>473</v>
      </c>
      <c r="B28" s="348">
        <f>COUNTIFS(Ethnicity, 1, DuplicateClient, FALSE, LengthOfStay_Total, "&gt;0")</f>
        <v>10</v>
      </c>
      <c r="C28" s="305">
        <f t="shared" ref="C28:C30" si="4">IF($B$31&lt;&gt;0, (B28/$B$31), "")</f>
        <v>7.575757575757576E-2</v>
      </c>
      <c r="D28" s="348">
        <f>COUNTIFS(Ethnicity, 1, HouseholdTypeClient, "HHNoKids", DuplicateClient, FALSE, LengthOfStay_Total, "&gt;0")</f>
        <v>6</v>
      </c>
      <c r="E28" s="305">
        <f t="shared" ref="E28:E30" si="5">IF($D$31&lt;&gt;0, (D28/$D$31), "")</f>
        <v>8.2191780821917804E-2</v>
      </c>
      <c r="F28" s="348">
        <f>COUNTIFS(Ethnicity, 1, HouseholdTypeClient, "AdultChild", DuplicateClient, FALSE, LengthOfStay_Total, "&gt;0")</f>
        <v>0</v>
      </c>
      <c r="G28" s="305" t="str">
        <f t="shared" ref="G28:G30" si="6">IF($F$31&lt;&gt;0, (F28/$F$31), "")</f>
        <v/>
      </c>
      <c r="H28" s="348">
        <f>COUNTIFS(Ethnicity, 1, HouseholdTypeClient, "HHKidsOnly", DuplicateClient, FALSE, LengthOfStay_Total, "&gt;0")</f>
        <v>4</v>
      </c>
      <c r="I28" s="353">
        <f t="shared" ref="I28:I30" si="7">IF(H$31&lt;&gt;0, (H28/$H$31), "")</f>
        <v>6.8965517241379309E-2</v>
      </c>
    </row>
    <row r="29" spans="1:9" ht="15" customHeight="1">
      <c r="A29" s="182" t="s">
        <v>436</v>
      </c>
      <c r="B29" s="348">
        <f>COUNTIFS(Ethnicity, "&gt;=8", Ethnicity, "&lt;=9", DuplicateClient, FALSE, LengthOfStay_Total, "&gt;0")</f>
        <v>0</v>
      </c>
      <c r="C29" s="305">
        <f t="shared" si="4"/>
        <v>0</v>
      </c>
      <c r="D29" s="348">
        <f>COUNTIFS(Ethnicity, "&gt;=8", Ethnicity, "&lt;=9", HouseholdTypeClient, "HHNoKids", DuplicateClient, FALSE, LengthOfStay_Total, "&gt;0")</f>
        <v>0</v>
      </c>
      <c r="E29" s="305">
        <f t="shared" si="5"/>
        <v>0</v>
      </c>
      <c r="F29" s="348">
        <f>COUNTIFS(Ethnicity, "&gt;=8", Ethnicity, "&lt;=9", HouseholdTypeClient, "AdultChild", DuplicateClient, FALSE, LengthOfStay_Total, "&gt;0")</f>
        <v>0</v>
      </c>
      <c r="G29" s="305" t="str">
        <f t="shared" si="6"/>
        <v/>
      </c>
      <c r="H29" s="348">
        <f>COUNTIFS(Ethnicity, "&gt;=8", Ethnicity, "&lt;=9", HouseholdTypeClient, "HHKidsOnly", DuplicateClient, FALSE, LengthOfStay_Total, "&gt;0")</f>
        <v>0</v>
      </c>
      <c r="I29" s="353">
        <f t="shared" si="7"/>
        <v>0</v>
      </c>
    </row>
    <row r="30" spans="1:9" ht="15" customHeight="1" thickBot="1">
      <c r="A30" s="190" t="s">
        <v>437</v>
      </c>
      <c r="B30" s="345">
        <f>COUNTIFS(Ethnicity, "", DuplicateClient, FALSE, LengthOfStay_Total, "&gt;0")</f>
        <v>0</v>
      </c>
      <c r="C30" s="305">
        <f t="shared" si="4"/>
        <v>0</v>
      </c>
      <c r="D30" s="345">
        <f>COUNTIFS(Ethnicity, "", HouseholdTypeClient, "HHNoKids", DuplicateClient, FALSE, LengthOfStay_Total, "&gt;0")</f>
        <v>0</v>
      </c>
      <c r="E30" s="305">
        <f t="shared" si="5"/>
        <v>0</v>
      </c>
      <c r="F30" s="345">
        <f>COUNTIFS(Ethnicity, "", HouseholdTypeClient, "AdultChild", DuplicateClient, FALSE, LengthOfStay_Total, "&gt;0")</f>
        <v>0</v>
      </c>
      <c r="G30" s="305" t="str">
        <f t="shared" si="6"/>
        <v/>
      </c>
      <c r="H30" s="345">
        <f>COUNTIFS(Ethnicity, "", HouseholdTypeClient, "HHKidsOnly", DuplicateClient, FALSE, LengthOfStay_Total, "&gt;0")</f>
        <v>0</v>
      </c>
      <c r="I30" s="353">
        <f t="shared" si="7"/>
        <v>0</v>
      </c>
    </row>
    <row r="31" spans="1:9" ht="15" customHeight="1" thickBot="1">
      <c r="A31" s="191" t="s">
        <v>116</v>
      </c>
      <c r="B31" s="192">
        <f>SUM(B27:B30)</f>
        <v>132</v>
      </c>
      <c r="C31" s="359">
        <v>1</v>
      </c>
      <c r="D31" s="192">
        <f>SUM(D27:D30)</f>
        <v>73</v>
      </c>
      <c r="E31" s="359">
        <v>1</v>
      </c>
      <c r="F31" s="192">
        <f>SUM(F27:F30)</f>
        <v>0</v>
      </c>
      <c r="G31" s="359">
        <v>1</v>
      </c>
      <c r="H31" s="192">
        <f>SUM(H27:H30)</f>
        <v>58</v>
      </c>
      <c r="I31" s="360">
        <v>1</v>
      </c>
    </row>
    <row r="32" spans="1:9" ht="15" customHeight="1">
      <c r="A32" s="709" t="s">
        <v>475</v>
      </c>
      <c r="B32" s="710"/>
      <c r="C32" s="710"/>
      <c r="D32" s="710"/>
      <c r="E32" s="710"/>
      <c r="F32" s="710"/>
      <c r="G32" s="710"/>
      <c r="H32" s="710"/>
      <c r="I32" s="711"/>
    </row>
    <row r="33" spans="1:9" ht="15" customHeight="1">
      <c r="A33" s="182" t="s">
        <v>476</v>
      </c>
      <c r="B33" s="348">
        <f>COUNTIFS(Ethnicity, 0, PrimaryRace, 5, SecondaryRace, "", DuplicateClient, FALSE, LengthOfStay_Total, "&gt;0")</f>
        <v>29</v>
      </c>
      <c r="C33" s="305">
        <f>IF($B$46&lt;&gt;0, (B33/$B$46), "")</f>
        <v>0.2196969696969697</v>
      </c>
      <c r="D33" s="348">
        <f>COUNTIFS(Ethnicity, 0, PrimaryRace, 5, SecondaryRace, "", HouseholdTypeClient, "HHNoKids", DuplicateClient, FALSE, LengthOfStay_Total, "&gt;0")</f>
        <v>20</v>
      </c>
      <c r="E33" s="305">
        <f>IF($D$46&lt;&gt;0, (D33/$D$46), "")</f>
        <v>0.27397260273972601</v>
      </c>
      <c r="F33" s="348">
        <f>COUNTIFS(Ethnicity, 0, PrimaryRace, 5, SecondaryRace, "", HouseholdTypeClient, "AdultChild", DuplicateClient, FALSE, LengthOfStay_Total, "&gt;0")</f>
        <v>0</v>
      </c>
      <c r="G33" s="305" t="str">
        <f>IF($F$46&lt;&gt;0, (F33/$F$46), "")</f>
        <v/>
      </c>
      <c r="H33" s="348">
        <f>COUNTIFS(Ethnicity, 0, PrimaryRace, 5, SecondaryRace, "", HouseholdTypeClient, "HHKidsOnly", DuplicateClient, FALSE, LengthOfStay_Total, "&gt;0")</f>
        <v>9</v>
      </c>
      <c r="I33" s="353">
        <f>IF($H$46&lt;&gt;0, (H33/$H$46), "")</f>
        <v>0.15517241379310345</v>
      </c>
    </row>
    <row r="34" spans="1:9" ht="15" customHeight="1">
      <c r="A34" s="182" t="s">
        <v>478</v>
      </c>
      <c r="B34" s="348">
        <f>COUNTIFS(Ethnicity, 1, PrimaryRace, 5, SecondaryRace, "", DuplicateClient, FALSE, LengthOfStay_Total, "&gt;0")</f>
        <v>2</v>
      </c>
      <c r="C34" s="305">
        <f t="shared" ref="C34:C43" si="8">IF($B$46&lt;&gt;0, (B34/$B$46), "")</f>
        <v>1.5151515151515152E-2</v>
      </c>
      <c r="D34" s="348">
        <f>COUNTIFS(Ethnicity, 1, PrimaryRace, 5, SecondaryRace, "", HouseholdTypeClient, "HHNoKids", DuplicateClient, FALSE, LengthOfStay_Total, "&gt;0")</f>
        <v>2</v>
      </c>
      <c r="E34" s="305">
        <f t="shared" ref="E34:E45" si="9">IF($D$46&lt;&gt;0, (D34/$D$46), "")</f>
        <v>2.7397260273972601E-2</v>
      </c>
      <c r="F34" s="348">
        <f>COUNTIFS(Ethnicity, 1, PrimaryRace, 5, SecondaryRace, "", HouseholdTypeClient, "AdultChild", DuplicateClient, FALSE, LengthOfStay_Total, "&gt;0")</f>
        <v>0</v>
      </c>
      <c r="G34" s="305" t="str">
        <f t="shared" ref="G34:G45" si="10">IF($F$46&lt;&gt;0, (F34/$F$46), "")</f>
        <v/>
      </c>
      <c r="H34" s="348">
        <f>COUNTIFS(Ethnicity, 1, PrimaryRace, 5, SecondaryRace, "", HouseholdTypeClient, "HHKidsOnly", DuplicateClient, FALSE, LengthOfStay_Total, "&gt;0")</f>
        <v>0</v>
      </c>
      <c r="I34" s="353">
        <f t="shared" ref="I34:I45" si="11">IF($H$46&lt;&gt;0, (H34/$H$46), "")</f>
        <v>0</v>
      </c>
    </row>
    <row r="35" spans="1:9" ht="15" customHeight="1">
      <c r="A35" s="182" t="s">
        <v>479</v>
      </c>
      <c r="B35" s="348">
        <f>COUNTIFS(Ethnicity, "", PrimaryRace, 5, SecondaryRace, "", DuplicateClient, FALSE, LengthOfStay_Total, "&gt;0")</f>
        <v>0</v>
      </c>
      <c r="C35" s="305">
        <f t="shared" si="8"/>
        <v>0</v>
      </c>
      <c r="D35" s="348">
        <f>COUNTIFS(Ethnicity, "", PrimaryRace, 5, SecondaryRace, "", HouseholdTypeClient, "HHNoKids", DuplicateClient, FALSE, LengthOfStay_Total, "&gt;0")</f>
        <v>0</v>
      </c>
      <c r="E35" s="305">
        <f t="shared" si="9"/>
        <v>0</v>
      </c>
      <c r="F35" s="348">
        <f>COUNTIFS(Ethnicity, "", PrimaryRace, 5, SecondaryRace, "", HouseholdTypeClient, "AdultChild", DuplicateClient, FALSE, LengthOfStay_Total, "&gt;0")</f>
        <v>0</v>
      </c>
      <c r="G35" s="305" t="str">
        <f t="shared" si="10"/>
        <v/>
      </c>
      <c r="H35" s="348">
        <f>COUNTIFS(Ethnicity, "", PrimaryRace, 5, SecondaryRace, "", HouseholdTypeClient, "HHKidsOnly", DuplicateClient, FALSE, LengthOfStay_Total, "&gt;0")</f>
        <v>0</v>
      </c>
      <c r="I35" s="353">
        <f t="shared" si="11"/>
        <v>0</v>
      </c>
    </row>
    <row r="36" spans="1:9" ht="15" customHeight="1">
      <c r="A36" s="182" t="s">
        <v>481</v>
      </c>
      <c r="B36" s="348">
        <f>COUNTIFS(PrimaryRace, 3, SecondaryRace, "", DuplicateClient, FALSE, LengthOfStay_Total, "&gt;0")</f>
        <v>63</v>
      </c>
      <c r="C36" s="305">
        <f t="shared" si="8"/>
        <v>0.47727272727272729</v>
      </c>
      <c r="D36" s="348">
        <f>COUNTIFS(PrimaryRace, 3, SecondaryRace, "", HouseholdTypeClient, "HHNoKids", DuplicateClient, FALSE, LengthOfStay_Total, "&gt;0")</f>
        <v>33</v>
      </c>
      <c r="E36" s="305">
        <f t="shared" si="9"/>
        <v>0.45205479452054792</v>
      </c>
      <c r="F36" s="348">
        <f>COUNTIFS(PrimaryRace, 3, SecondaryRace, "", HouseholdTypeClient, "AdultChild", DuplicateClient, FALSE, LengthOfStay_Total, "&gt;0")</f>
        <v>0</v>
      </c>
      <c r="G36" s="305" t="str">
        <f t="shared" si="10"/>
        <v/>
      </c>
      <c r="H36" s="348">
        <f>COUNTIFS(PrimaryRace, 3, SecondaryRace, "", HouseholdTypeClient, "HHKidsOnly", DuplicateClient, FALSE, LengthOfStay_Total, "&gt;0")</f>
        <v>30</v>
      </c>
      <c r="I36" s="353">
        <f t="shared" si="11"/>
        <v>0.51724137931034486</v>
      </c>
    </row>
    <row r="37" spans="1:9" ht="15" customHeight="1">
      <c r="A37" s="182" t="s">
        <v>483</v>
      </c>
      <c r="B37" s="348">
        <f>COUNTIFS(PrimaryRace, 2, SecondaryRace, "", DuplicateClient, FALSE, LengthOfStay_Total, "&gt;0")</f>
        <v>6</v>
      </c>
      <c r="C37" s="305">
        <f t="shared" si="8"/>
        <v>4.5454545454545456E-2</v>
      </c>
      <c r="D37" s="348">
        <f>COUNTIFS(PrimaryRace, 2, SecondaryRace, "", HouseholdTypeClient, "HHNoKids", DuplicateClient, FALSE, LengthOfStay_Total, "&gt;0")</f>
        <v>3</v>
      </c>
      <c r="E37" s="305">
        <f t="shared" si="9"/>
        <v>4.1095890410958902E-2</v>
      </c>
      <c r="F37" s="348">
        <f>COUNTIFS(PrimaryRace, 2, SecondaryRace, "", HouseholdTypeClient, "AdultChild", DuplicateClient, FALSE, LengthOfStay_Total, "&gt;0")</f>
        <v>0</v>
      </c>
      <c r="G37" s="305" t="str">
        <f t="shared" si="10"/>
        <v/>
      </c>
      <c r="H37" s="348">
        <f>COUNTIFS(PrimaryRace, 2, SecondaryRace, "", HouseholdTypeClient, "HHKidsOnly", DuplicateClient, FALSE, LengthOfStay_Total, "&gt;0")</f>
        <v>2</v>
      </c>
      <c r="I37" s="353">
        <f t="shared" si="11"/>
        <v>3.4482758620689655E-2</v>
      </c>
    </row>
    <row r="38" spans="1:9" ht="15" customHeight="1">
      <c r="A38" s="182" t="s">
        <v>486</v>
      </c>
      <c r="B38" s="348">
        <f>COUNTIFS(PrimaryRace, 1, SecondaryRace, "", DuplicateClient, FALSE, LengthOfStay_Total, "&gt;0")</f>
        <v>7</v>
      </c>
      <c r="C38" s="305">
        <f t="shared" si="8"/>
        <v>5.3030303030303032E-2</v>
      </c>
      <c r="D38" s="348">
        <f>COUNTIFS(PrimaryRace, 1, SecondaryRace, "", HouseholdTypeClient, "HHNoKids", DuplicateClient, FALSE, LengthOfStay_Total, "&gt;0")</f>
        <v>6</v>
      </c>
      <c r="E38" s="305">
        <f t="shared" si="9"/>
        <v>8.2191780821917804E-2</v>
      </c>
      <c r="F38" s="348">
        <f>COUNTIFS(PrimaryRace, 1, SecondaryRace, "", HouseholdTypeClient, "AdultChild", DuplicateClient, FALSE, LengthOfStay_Total, "&gt;0")</f>
        <v>0</v>
      </c>
      <c r="G38" s="305" t="str">
        <f t="shared" si="10"/>
        <v/>
      </c>
      <c r="H38" s="348">
        <f>COUNTIFS(PrimaryRace, 1, SecondaryRace, "", HouseholdTypeClient, "HHKidsOnly", DuplicateClient, FALSE, LengthOfStay_Total, "&gt;0")</f>
        <v>1</v>
      </c>
      <c r="I38" s="353">
        <f t="shared" si="11"/>
        <v>1.7241379310344827E-2</v>
      </c>
    </row>
    <row r="39" spans="1:9" ht="24.75" customHeight="1">
      <c r="A39" s="182" t="s">
        <v>491</v>
      </c>
      <c r="B39" s="348">
        <f>COUNTIFS(PrimaryRace, 4, SecondaryRace, "", DuplicateClient, FALSE, LengthOfStay_Total, "&gt;0")</f>
        <v>9</v>
      </c>
      <c r="C39" s="305">
        <f t="shared" si="8"/>
        <v>6.8181818181818177E-2</v>
      </c>
      <c r="D39" s="348">
        <f>COUNTIFS(PrimaryRace, 4, SecondaryRace, "", HouseholdTypeClient, "HHNoKids", DuplicateClient, FALSE, LengthOfStay_Total, "&gt;0")</f>
        <v>2</v>
      </c>
      <c r="E39" s="305">
        <f t="shared" si="9"/>
        <v>2.7397260273972601E-2</v>
      </c>
      <c r="F39" s="348">
        <f>COUNTIFS(PrimaryRace, 4, SecondaryRace, "", HouseholdTypeClient, "AdultChild", DuplicateClient, FALSE, LengthOfStay_Total, "&gt;0")</f>
        <v>0</v>
      </c>
      <c r="G39" s="305" t="str">
        <f t="shared" si="10"/>
        <v/>
      </c>
      <c r="H39" s="348">
        <f>COUNTIFS(PrimaryRace, 4, SecondaryRace, "", HouseholdTypeClient, "HHKidsOnly", DuplicateClient, FALSE, LengthOfStay_Total, "&gt;0")</f>
        <v>7</v>
      </c>
      <c r="I39" s="353">
        <f t="shared" si="11"/>
        <v>0.1206896551724138</v>
      </c>
    </row>
    <row r="40" spans="1:9" ht="15" customHeight="1">
      <c r="A40" s="182" t="s">
        <v>496</v>
      </c>
      <c r="B40" s="348">
        <f>COUNTIFS(PrimaryRace, "&gt;0", SecondaryRace, "&gt;0", DuplicateClient, FALSE, LengthOfStay_Total, "&gt;0")</f>
        <v>9</v>
      </c>
      <c r="C40" s="305">
        <f t="shared" si="8"/>
        <v>6.8181818181818177E-2</v>
      </c>
      <c r="D40" s="348">
        <f>COUNTIFS(PrimaryRace, "&gt;0", SecondaryRace, "&gt;0", HouseholdTypeClient, "HHNoKids", DuplicateClient, FALSE, LengthOfStay_Total, "&gt;0")</f>
        <v>4</v>
      </c>
      <c r="E40" s="305">
        <f t="shared" si="9"/>
        <v>5.4794520547945202E-2</v>
      </c>
      <c r="F40" s="348">
        <f>COUNTIFS(PrimaryRace, "&gt;0", SecondaryRace, "&gt;0", HouseholdTypeClient, "AdultChild", DuplicateClient, FALSE, LengthOfStay_Total, "&gt;0")</f>
        <v>0</v>
      </c>
      <c r="G40" s="305" t="str">
        <f t="shared" si="10"/>
        <v/>
      </c>
      <c r="H40" s="348">
        <f>COUNTIFS(PrimaryRace, "&gt;0", SecondaryRace, "&gt;0", HouseholdTypeClient, "HHKidsOnly", DuplicateClient, FALSE, LengthOfStay_Total, "&gt;0")</f>
        <v>5</v>
      </c>
      <c r="I40" s="353">
        <f t="shared" si="11"/>
        <v>8.6206896551724144E-2</v>
      </c>
    </row>
    <row r="41" spans="1:9" ht="15" customHeight="1">
      <c r="A41" s="182" t="s">
        <v>436</v>
      </c>
      <c r="B41" s="348">
        <f>COUNTIFS(PrimaryRace, "&gt;=8", PrimaryRace, "&lt;=9", SecondaryRace, "", DuplicateClient, FALSE, LengthOfStay_Total, "&gt;0")</f>
        <v>7</v>
      </c>
      <c r="C41" s="305">
        <f t="shared" si="8"/>
        <v>5.3030303030303032E-2</v>
      </c>
      <c r="D41" s="348">
        <f>COUNTIFS(PrimaryRace, "&gt;=8", PrimaryRace, "&lt;=9", SecondaryRace, "", HouseholdTypeClient, "HHNoKids", DuplicateClient, FALSE, LengthOfStay_Total, "&gt;0")</f>
        <v>3</v>
      </c>
      <c r="E41" s="305">
        <f t="shared" si="9"/>
        <v>4.1095890410958902E-2</v>
      </c>
      <c r="F41" s="348">
        <f>COUNTIFS(PrimaryRace, "&gt;=8", PrimaryRace, "&lt;=9", SecondaryRace, "", HouseholdTypeClient, "AdultChild", DuplicateClient, FALSE, LengthOfStay_Total, "&gt;0")</f>
        <v>0</v>
      </c>
      <c r="G41" s="305" t="str">
        <f t="shared" si="10"/>
        <v/>
      </c>
      <c r="H41" s="348">
        <f>COUNTIFS(PrimaryRace, "&gt;=8", PrimaryRace, "&lt;=9", SecondaryRace, "", HouseholdTypeClient, "HHKidsOnly", DuplicateClient, FALSE, LengthOfStay_Total, "&gt;0")</f>
        <v>4</v>
      </c>
      <c r="I41" s="353">
        <f t="shared" si="11"/>
        <v>6.8965517241379309E-2</v>
      </c>
    </row>
    <row r="42" spans="1:9" ht="24.75" customHeight="1">
      <c r="A42" s="182" t="s">
        <v>504</v>
      </c>
      <c r="B42" s="348">
        <f>COUNTIFS(Ethnicity, 1, PrimaryRace, "", SecondaryRace, "", DuplicateClient, FALSE, LengthOfStay_Total, "&gt;0")</f>
        <v>0</v>
      </c>
      <c r="C42" s="305">
        <f t="shared" si="8"/>
        <v>0</v>
      </c>
      <c r="D42" s="348">
        <f>COUNTIFS(Ethnicity, 1, PrimaryRace, "", SecondaryRace, "", HouseholdTypeClient, "HHNoKids", DuplicateClient, FALSE, LengthOfStay_Total, "&gt;0")</f>
        <v>0</v>
      </c>
      <c r="E42" s="305">
        <f t="shared" si="9"/>
        <v>0</v>
      </c>
      <c r="F42" s="348">
        <f>COUNTIFS(Ethnicity, 1, PrimaryRace, "", SecondaryRace, "", HouseholdTypeClient, "AdultChild", DuplicateClient, FALSE, LengthOfStay_Total, "&gt;0")</f>
        <v>0</v>
      </c>
      <c r="G42" s="305" t="str">
        <f t="shared" si="10"/>
        <v/>
      </c>
      <c r="H42" s="348">
        <f>COUNTIFS(Ethnicity, 1, PrimaryRace, "", SecondaryRace, "", HouseholdTypeClient, "HHKidsOnly", DuplicateClient, FALSE, LengthOfStay_Total, "&gt;0")</f>
        <v>0</v>
      </c>
      <c r="I42" s="353">
        <f t="shared" si="11"/>
        <v>0</v>
      </c>
    </row>
    <row r="43" spans="1:9" ht="24.75" customHeight="1">
      <c r="A43" s="182" t="s">
        <v>507</v>
      </c>
      <c r="B43" s="348">
        <f>COUNTIFS(Ethnicity, 0, PrimaryRace, "", SecondaryRace, "", DuplicateClient, FALSE,LengthOfStay_Total,"&gt;0")+COUNTIFS(Ethnicity,"", PrimaryRace, "", SecondaryRace, "", DuplicateClient, FALSE,LengthOfStay_Total,"&gt;0")</f>
        <v>0</v>
      </c>
      <c r="C43" s="305">
        <f t="shared" si="8"/>
        <v>0</v>
      </c>
      <c r="D43" s="348">
        <f>COUNTIFS(Ethnicity, 0, PrimaryRace, "", SecondaryRace, "", HouseholdTypeClient, "HHNoKids", DuplicateClient, FALSE,LengthOfStay_Total,"&gt;0")+COUNTIFS(Ethnicity,"", PrimaryRace, "", SecondaryRace, "", HouseholdTypeClient, "HHNoKids", DuplicateClient, FALSE,LengthOfStay_Total,"&gt;0")</f>
        <v>0</v>
      </c>
      <c r="E43" s="305">
        <f t="shared" si="9"/>
        <v>0</v>
      </c>
      <c r="F43" s="348">
        <f>COUNTIFS(Ethnicity, 0, PrimaryRace, "", SecondaryRace, "", HouseholdTypeClient, "AdultChild", DuplicateClient, FALSE,LengthOfStay_Total,"&gt;0")+COUNTIFS(Ethnicity,"", PrimaryRace, "", SecondaryRace, "", HouseholdTypeClient, "AdultChild", DuplicateClient, FALSE,LengthOfStay_Total,"&gt;0")</f>
        <v>0</v>
      </c>
      <c r="G43" s="305" t="str">
        <f t="shared" si="10"/>
        <v/>
      </c>
      <c r="H43" s="348">
        <f>COUNTIFS(Ethnicity, 0, PrimaryRace, "", SecondaryRace, "", HouseholdTypeClient, "HHKidsOnly", DuplicateClient, FALSE,LengthOfStay_Total,"&gt;0")+COUNTIFS(Ethnicity,"", PrimaryRace, "", SecondaryRace, "", HouseholdTypeClient, "HHKidsOnly", DuplicateClient, FALSE,LengthOfStay_Total,"&gt;0")</f>
        <v>0</v>
      </c>
      <c r="I43" s="353">
        <f t="shared" si="11"/>
        <v>0</v>
      </c>
    </row>
    <row r="44" spans="1:9" ht="15" customHeight="1">
      <c r="A44" s="183" t="s">
        <v>510</v>
      </c>
      <c r="B44" s="346">
        <f>B34+B36+B37+B38+B39+B40</f>
        <v>96</v>
      </c>
      <c r="C44" s="305">
        <f>IF(B46&lt;&gt;0, (B44/B46), "")</f>
        <v>0.72727272727272729</v>
      </c>
      <c r="D44" s="346">
        <f>D34+D36+D37+D38+D39+D40</f>
        <v>50</v>
      </c>
      <c r="E44" s="305">
        <f t="shared" si="9"/>
        <v>0.68493150684931503</v>
      </c>
      <c r="F44" s="346">
        <f>F34+F36+F37+F38+F39+F40</f>
        <v>0</v>
      </c>
      <c r="G44" s="305" t="str">
        <f t="shared" si="10"/>
        <v/>
      </c>
      <c r="H44" s="346">
        <f>H34+H36+H37+H38+H39+H40</f>
        <v>45</v>
      </c>
      <c r="I44" s="353">
        <f t="shared" si="11"/>
        <v>0.77586206896551724</v>
      </c>
    </row>
    <row r="45" spans="1:9" ht="15" customHeight="1" thickBot="1">
      <c r="A45" s="193" t="s">
        <v>511</v>
      </c>
      <c r="B45" s="344">
        <f>B33</f>
        <v>29</v>
      </c>
      <c r="C45" s="305">
        <f>IF(B46&lt;&gt;0, (B45/B46), "")</f>
        <v>0.2196969696969697</v>
      </c>
      <c r="D45" s="344">
        <f>D33</f>
        <v>20</v>
      </c>
      <c r="E45" s="305">
        <f t="shared" si="9"/>
        <v>0.27397260273972601</v>
      </c>
      <c r="F45" s="344">
        <f>F33</f>
        <v>0</v>
      </c>
      <c r="G45" s="305" t="str">
        <f t="shared" si="10"/>
        <v/>
      </c>
      <c r="H45" s="344">
        <f>H33</f>
        <v>9</v>
      </c>
      <c r="I45" s="353">
        <f t="shared" si="11"/>
        <v>0.15517241379310345</v>
      </c>
    </row>
    <row r="46" spans="1:9" ht="15" customHeight="1" thickBot="1">
      <c r="A46" s="194" t="s">
        <v>116</v>
      </c>
      <c r="B46" s="361">
        <f>SUM(B33:B43)</f>
        <v>132</v>
      </c>
      <c r="C46" s="362">
        <v>1</v>
      </c>
      <c r="D46" s="361">
        <f>SUM(D33:D43)</f>
        <v>73</v>
      </c>
      <c r="E46" s="362">
        <v>1</v>
      </c>
      <c r="F46" s="361">
        <f>SUM(F33:F43)</f>
        <v>0</v>
      </c>
      <c r="G46" s="362">
        <v>1</v>
      </c>
      <c r="H46" s="361">
        <f>SUM(H33:H43)</f>
        <v>58</v>
      </c>
      <c r="I46" s="363">
        <v>1</v>
      </c>
    </row>
    <row r="47" spans="1:9" ht="15.75" thickTop="1"/>
  </sheetData>
  <mergeCells count="22">
    <mergeCell ref="A1:I1"/>
    <mergeCell ref="A2:I2"/>
    <mergeCell ref="A3:I3"/>
    <mergeCell ref="A4:A6"/>
    <mergeCell ref="F4:I4"/>
    <mergeCell ref="F5:G5"/>
    <mergeCell ref="H5:I5"/>
    <mergeCell ref="B4:C5"/>
    <mergeCell ref="D4:E5"/>
    <mergeCell ref="H10:I15"/>
    <mergeCell ref="A20:I20"/>
    <mergeCell ref="A21:I21"/>
    <mergeCell ref="A22:I22"/>
    <mergeCell ref="D7:E9"/>
    <mergeCell ref="B23:C24"/>
    <mergeCell ref="A32:I32"/>
    <mergeCell ref="F24:G24"/>
    <mergeCell ref="H24:I24"/>
    <mergeCell ref="A26:I26"/>
    <mergeCell ref="A23:A25"/>
    <mergeCell ref="D23:E24"/>
    <mergeCell ref="F23:I23"/>
  </mergeCells>
  <pageMargins left="0.7" right="0.7" top="0.5" bottom="0.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sheetPr codeName="Sheet11"/>
  <dimension ref="A1:M24"/>
  <sheetViews>
    <sheetView topLeftCell="A7" workbookViewId="0">
      <selection activeCell="B17" sqref="B17:D25"/>
    </sheetView>
  </sheetViews>
  <sheetFormatPr defaultRowHeight="15"/>
  <cols>
    <col min="1" max="1" width="19.7109375" customWidth="1"/>
    <col min="2" max="2" width="4.7109375" customWidth="1"/>
    <col min="3" max="3" width="6.85546875" customWidth="1"/>
    <col min="4" max="4" width="4.7109375" customWidth="1"/>
    <col min="5" max="5" width="6.85546875" customWidth="1"/>
    <col min="6" max="6" width="4.7109375" customWidth="1"/>
    <col min="7" max="7" width="6.85546875" customWidth="1"/>
    <col min="8" max="8" width="4.7109375" customWidth="1"/>
    <col min="9" max="9" width="6.85546875" customWidth="1"/>
    <col min="10" max="10" width="4.7109375" customWidth="1"/>
    <col min="11" max="11" width="6.85546875" customWidth="1"/>
    <col min="12" max="12" width="4.7109375" customWidth="1"/>
    <col min="13" max="13" width="6.85546875" customWidth="1"/>
  </cols>
  <sheetData>
    <row r="1" spans="1:13" ht="15.75" customHeight="1" thickTop="1">
      <c r="A1" s="517" t="s">
        <v>513</v>
      </c>
      <c r="B1" s="518"/>
      <c r="C1" s="518"/>
      <c r="D1" s="518"/>
      <c r="E1" s="518"/>
      <c r="F1" s="518"/>
      <c r="G1" s="518"/>
      <c r="H1" s="518"/>
      <c r="I1" s="518"/>
      <c r="J1" s="518"/>
      <c r="K1" s="518"/>
      <c r="L1" s="518"/>
      <c r="M1" s="519"/>
    </row>
    <row r="2" spans="1:13" ht="15" customHeight="1">
      <c r="A2" s="728" t="s">
        <v>139</v>
      </c>
      <c r="B2" s="729"/>
      <c r="C2" s="729"/>
      <c r="D2" s="729"/>
      <c r="E2" s="729"/>
      <c r="F2" s="729"/>
      <c r="G2" s="729"/>
      <c r="H2" s="729"/>
      <c r="I2" s="729"/>
      <c r="J2" s="729"/>
      <c r="K2" s="729"/>
      <c r="L2" s="729"/>
      <c r="M2" s="730"/>
    </row>
    <row r="3" spans="1:13" ht="15.75" customHeight="1" thickBot="1">
      <c r="A3" s="731" t="s">
        <v>221</v>
      </c>
      <c r="B3" s="732"/>
      <c r="C3" s="732"/>
      <c r="D3" s="732"/>
      <c r="E3" s="732"/>
      <c r="F3" s="732"/>
      <c r="G3" s="732"/>
      <c r="H3" s="732"/>
      <c r="I3" s="732"/>
      <c r="J3" s="732"/>
      <c r="K3" s="732"/>
      <c r="L3" s="732"/>
      <c r="M3" s="733"/>
    </row>
    <row r="4" spans="1:13" ht="44.25" customHeight="1">
      <c r="A4" s="746" t="s">
        <v>514</v>
      </c>
      <c r="B4" s="739" t="s">
        <v>116</v>
      </c>
      <c r="C4" s="739"/>
      <c r="D4" s="739"/>
      <c r="E4" s="739"/>
      <c r="F4" s="739"/>
      <c r="G4" s="739"/>
      <c r="H4" s="739" t="s">
        <v>515</v>
      </c>
      <c r="I4" s="739"/>
      <c r="J4" s="739" t="s">
        <v>516</v>
      </c>
      <c r="K4" s="739"/>
      <c r="L4" s="739"/>
      <c r="M4" s="749"/>
    </row>
    <row r="5" spans="1:13" ht="25.5" customHeight="1">
      <c r="A5" s="747"/>
      <c r="B5" s="740" t="s">
        <v>517</v>
      </c>
      <c r="C5" s="740"/>
      <c r="D5" s="740" t="s">
        <v>122</v>
      </c>
      <c r="E5" s="740"/>
      <c r="F5" s="740" t="s">
        <v>518</v>
      </c>
      <c r="G5" s="740"/>
      <c r="H5" s="740"/>
      <c r="I5" s="740"/>
      <c r="J5" s="750" t="s">
        <v>119</v>
      </c>
      <c r="K5" s="750"/>
      <c r="L5" s="750" t="s">
        <v>120</v>
      </c>
      <c r="M5" s="751"/>
    </row>
    <row r="6" spans="1:13" ht="15.75" thickBot="1">
      <c r="A6" s="748"/>
      <c r="B6" s="199" t="s">
        <v>242</v>
      </c>
      <c r="C6" s="198" t="s">
        <v>519</v>
      </c>
      <c r="D6" s="199" t="s">
        <v>242</v>
      </c>
      <c r="E6" s="199" t="s">
        <v>519</v>
      </c>
      <c r="F6" s="199" t="s">
        <v>242</v>
      </c>
      <c r="G6" s="198" t="s">
        <v>519</v>
      </c>
      <c r="H6" s="199" t="s">
        <v>242</v>
      </c>
      <c r="I6" s="198" t="s">
        <v>519</v>
      </c>
      <c r="J6" s="199" t="s">
        <v>242</v>
      </c>
      <c r="K6" s="198" t="s">
        <v>519</v>
      </c>
      <c r="L6" s="199" t="s">
        <v>242</v>
      </c>
      <c r="M6" s="200" t="s">
        <v>519</v>
      </c>
    </row>
    <row r="7" spans="1:13" ht="16.5" customHeight="1" thickBot="1">
      <c r="A7" s="743" t="s">
        <v>520</v>
      </c>
      <c r="B7" s="744"/>
      <c r="C7" s="744"/>
      <c r="D7" s="744"/>
      <c r="E7" s="744"/>
      <c r="F7" s="744"/>
      <c r="G7" s="744"/>
      <c r="H7" s="744"/>
      <c r="I7" s="744"/>
      <c r="J7" s="744"/>
      <c r="K7" s="744"/>
      <c r="L7" s="744"/>
      <c r="M7" s="745"/>
    </row>
    <row r="8" spans="1:13" ht="15" customHeight="1">
      <c r="A8" s="201" t="s">
        <v>521</v>
      </c>
      <c r="B8" s="348">
        <f>COUNTIFS([1]ClientHistorical!$BH:$BH,"Y",[1]ClientHistorical!$BL:$BL,0)</f>
        <v>0</v>
      </c>
      <c r="C8" s="364" t="str">
        <f>IF($B$15&lt;&gt;0, (B8/$B$15), "")</f>
        <v/>
      </c>
      <c r="D8" s="348">
        <f>COUNTIFS([1]ClientHistorical!$BH:$BH,"Y",[1]ClientHistorical!$BL:$BL,0,[1]ClientHistorical!$BE:$BE,"A")</f>
        <v>0</v>
      </c>
      <c r="E8" s="364" t="str">
        <f>IF($D$15&lt;&gt;0, (D8/$D$15), "")</f>
        <v/>
      </c>
      <c r="F8" s="348">
        <f>COUNTIFS([1]ClientHistorical!$BH:$BH,"Y",[1]ClientHistorical!$BL:$BL,0,[1]ClientHistorical!$BE:$BE,"C")</f>
        <v>0</v>
      </c>
      <c r="G8" s="364" t="str">
        <f>IF($F$15&lt;&gt;0, (F8/$F$15), "")</f>
        <v/>
      </c>
      <c r="H8" s="348">
        <f>COUNTIFS([1]ClientHistorical!$BH:$BH,"Y",[1]ClientHistorical!$BL:$BL,0,[1]ClientHistorical!$BG:$BG,"HHNoKids")</f>
        <v>0</v>
      </c>
      <c r="I8" s="364" t="str">
        <f>IF($H$15&lt;&gt;0, (H8/$H$15), "")</f>
        <v/>
      </c>
      <c r="J8" s="348">
        <f>COUNTIFS([1]ClientHistorical!$BH:$BH,"Y",[1]ClientHistorical!$BL:$BL,0,[1]ClientHistorical!$BG:$BG,"AdultChild")</f>
        <v>0</v>
      </c>
      <c r="K8" s="364" t="str">
        <f>IF($J$15&lt;&gt;0, (J8/$J$15), "")</f>
        <v/>
      </c>
      <c r="L8" s="348">
        <f>COUNTIFS([1]ClientHistorical!$BH:$BH,"Y",[1]ClientHistorical!$BL:$BL,0,[1]ClientHistorical!$BG:$BG,"HHKidsOnly")</f>
        <v>0</v>
      </c>
      <c r="M8" s="366" t="str">
        <f>IF($L$15&lt;&gt;0, (L8/$L$15), "")</f>
        <v/>
      </c>
    </row>
    <row r="9" spans="1:13" ht="15" customHeight="1">
      <c r="A9" s="302" t="s">
        <v>522</v>
      </c>
      <c r="B9" s="348">
        <f>COUNTIFS([1]ClientHistorical!$BH:$BH,"Y",[1]ClientHistorical!$BL:$BL,1)</f>
        <v>0</v>
      </c>
      <c r="C9" s="364" t="str">
        <f t="shared" ref="C9:C14" si="0">IF($B$15&lt;&gt;0, (B9/$B$15), "")</f>
        <v/>
      </c>
      <c r="D9" s="348">
        <f>COUNTIFS([1]ClientHistorical!$BH:$BH,"Y",[1]ClientHistorical!$BL:$BL,1,[1]ClientHistorical!$BE:$BE,"A")</f>
        <v>0</v>
      </c>
      <c r="E9" s="364" t="str">
        <f t="shared" ref="E9:E14" si="1">IF($D$15&lt;&gt;0, (D9/$D$15), "")</f>
        <v/>
      </c>
      <c r="F9" s="348">
        <f>COUNTIFS([1]ClientHistorical!$BH:$BH,"Y",[1]ClientHistorical!$BL:$BL,1,[1]ClientHistorical!$BE:$BE,"C")</f>
        <v>0</v>
      </c>
      <c r="G9" s="364" t="str">
        <f t="shared" ref="G9:G14" si="2">IF($F$15&lt;&gt;0, (F9/$F$15), "")</f>
        <v/>
      </c>
      <c r="H9" s="348">
        <f>COUNTIFS([1]ClientHistorical!$BH:$BH,"Y",[1]ClientHistorical!$BL:$BL,1,[1]ClientHistorical!$BG:$BG,"HHNoKids")</f>
        <v>0</v>
      </c>
      <c r="I9" s="364" t="str">
        <f t="shared" ref="I9:I14" si="3">IF($H$15&lt;&gt;0, (H9/$H$15), "")</f>
        <v/>
      </c>
      <c r="J9" s="348">
        <f>COUNTIFS([1]ClientHistorical!$BH:$BH,"Y",[1]ClientHistorical!$BL:$BL,1,[1]ClientHistorical!$BG:$BG,"AdultChild")</f>
        <v>0</v>
      </c>
      <c r="K9" s="364" t="str">
        <f t="shared" ref="K9:K14" si="4">IF($J$15&lt;&gt;0, (J9/$J$15), "")</f>
        <v/>
      </c>
      <c r="L9" s="348">
        <f>COUNTIFS([1]ClientHistorical!$BH:$BH,"Y",[1]ClientHistorical!$BL:$BL,1,[1]ClientHistorical!$BG:$BG,"HHKidsOnly")</f>
        <v>0</v>
      </c>
      <c r="M9" s="366" t="str">
        <f t="shared" ref="M9:M14" si="5">IF($L$15&lt;&gt;0, (L9/$L$15), "")</f>
        <v/>
      </c>
    </row>
    <row r="10" spans="1:13" ht="15" customHeight="1">
      <c r="A10" s="302" t="s">
        <v>523</v>
      </c>
      <c r="B10" s="348">
        <f>COUNTIFS([1]ClientHistorical!$BH:$BH,"Y",[1]ClientHistorical!$BL:$BL,2)</f>
        <v>0</v>
      </c>
      <c r="C10" s="364" t="str">
        <f t="shared" si="0"/>
        <v/>
      </c>
      <c r="D10" s="348">
        <f>COUNTIFS([1]ClientHistorical!$BH:$BH,"Y",[1]ClientHistorical!$BL:$BL,2,[1]ClientHistorical!$BE:$BE,"A")</f>
        <v>0</v>
      </c>
      <c r="E10" s="364" t="str">
        <f t="shared" si="1"/>
        <v/>
      </c>
      <c r="F10" s="348">
        <f>COUNTIFS([1]ClientHistorical!$BH:$BH,"Y",[1]ClientHistorical!$BL:$BL,2,[1]ClientHistorical!$BE:$BE,"C")</f>
        <v>0</v>
      </c>
      <c r="G10" s="364" t="str">
        <f t="shared" si="2"/>
        <v/>
      </c>
      <c r="H10" s="348">
        <f>COUNTIFS([1]ClientHistorical!$BH:$BH,"Y",[1]ClientHistorical!$BL:$BL,2,[1]ClientHistorical!$BG:$BG,"HHNoKids")</f>
        <v>0</v>
      </c>
      <c r="I10" s="364" t="str">
        <f t="shared" si="3"/>
        <v/>
      </c>
      <c r="J10" s="348">
        <f>COUNTIFS([1]ClientHistorical!$BH:$BH,"Y",[1]ClientHistorical!$BL:$BL,2,[1]ClientHistorical!$BG:$BG,"AdultChild")</f>
        <v>0</v>
      </c>
      <c r="K10" s="364" t="str">
        <f t="shared" si="4"/>
        <v/>
      </c>
      <c r="L10" s="348">
        <f>COUNTIFS([1]ClientHistorical!$BH:$BH,"Y",[1]ClientHistorical!$BL:$BL,2,[1]ClientHistorical!$BG:$BG,"HHKidsOnly")</f>
        <v>0</v>
      </c>
      <c r="M10" s="366" t="str">
        <f t="shared" si="5"/>
        <v/>
      </c>
    </row>
    <row r="11" spans="1:13" ht="15" customHeight="1">
      <c r="A11" s="302" t="s">
        <v>524</v>
      </c>
      <c r="B11" s="348">
        <f>COUNTIFS([1]ClientHistorical!$BH:$BH,"Y",[1]ClientHistorical!$BL:$BL,"&gt;=3")</f>
        <v>0</v>
      </c>
      <c r="C11" s="364" t="str">
        <f t="shared" si="0"/>
        <v/>
      </c>
      <c r="D11" s="348">
        <f>COUNTIFS([1]ClientHistorical!$BH:$BH,"Y",[1]ClientHistorical!$BL:$BL,"&gt;=3",[1]ClientHistorical!$BE:$BE,"A")</f>
        <v>0</v>
      </c>
      <c r="E11" s="364" t="str">
        <f t="shared" si="1"/>
        <v/>
      </c>
      <c r="F11" s="348">
        <f>COUNTIFS([1]ClientHistorical!$BH:$BH,"Y",[1]ClientHistorical!$BL:$BL,"&gt;=3",[1]ClientHistorical!$BE:$BE,"C")</f>
        <v>0</v>
      </c>
      <c r="G11" s="364" t="str">
        <f t="shared" si="2"/>
        <v/>
      </c>
      <c r="H11" s="348">
        <f>COUNTIFS([1]ClientHistorical!$BH:$BH,"Y",[1]ClientHistorical!$BL:$BL,"&gt;=3",[1]ClientHistorical!$BG:$BG,"HHNoKids")</f>
        <v>0</v>
      </c>
      <c r="I11" s="364" t="str">
        <f t="shared" si="3"/>
        <v/>
      </c>
      <c r="J11" s="348">
        <f>COUNTIFS([1]ClientHistorical!$BH:$BH,"Y",[1]ClientHistorical!$BL:$BL,"&gt;=3",[1]ClientHistorical!$BG:$BG,"AdultChild")</f>
        <v>0</v>
      </c>
      <c r="K11" s="364" t="str">
        <f t="shared" si="4"/>
        <v/>
      </c>
      <c r="L11" s="348">
        <f>COUNTIFS([1]ClientHistorical!$BH:$BH,"Y",[1]ClientHistorical!$BL:$BL,"&gt;=3",[1]ClientHistorical!$BG:$BG,"HHKidsOnly")</f>
        <v>0</v>
      </c>
      <c r="M11" s="366" t="str">
        <f t="shared" si="5"/>
        <v/>
      </c>
    </row>
    <row r="12" spans="1:13" ht="15" customHeight="1">
      <c r="A12" s="302" t="s">
        <v>525</v>
      </c>
      <c r="B12" s="348">
        <f>COUNTIFS([1]ClientHistorical!$BH:$BH,"Y",[1]ClientHistorical!$BK:$BK,"Unknown")</f>
        <v>0</v>
      </c>
      <c r="C12" s="364" t="str">
        <f t="shared" si="0"/>
        <v/>
      </c>
      <c r="D12" s="348">
        <f>COUNTIFS([1]ClientHistorical!$BH:$BH,"Y",[1]ClientHistorical!$BK:$BK,"Unknown",[1]ClientHistorical!$BE:$BE,"A")</f>
        <v>0</v>
      </c>
      <c r="E12" s="364" t="str">
        <f t="shared" si="1"/>
        <v/>
      </c>
      <c r="F12" s="348">
        <f>COUNTIFS([1]ClientHistorical!$BH:$BH,"Y",[1]ClientHistorical!$BK:$BK,"Unknown",[1]ClientHistorical!$BE:$BE,"C")</f>
        <v>0</v>
      </c>
      <c r="G12" s="364" t="str">
        <f t="shared" si="2"/>
        <v/>
      </c>
      <c r="H12" s="348">
        <f>COUNTIFS([1]ClientHistorical!$BH:$BH,"Y",[1]ClientHistorical!$BK:$BK,"Unknown",[1]ClientHistorical!$BG:$BG,"HHNoKids")</f>
        <v>0</v>
      </c>
      <c r="I12" s="364" t="str">
        <f t="shared" si="3"/>
        <v/>
      </c>
      <c r="J12" s="348">
        <f>COUNTIFS([1]ClientHistorical!$BH:$BH,"Y",[1]ClientHistorical!$BK:$BK,"Unknown",[1]ClientHistorical!$BG:$BG,"AdultChild")</f>
        <v>0</v>
      </c>
      <c r="K12" s="364" t="str">
        <f t="shared" si="4"/>
        <v/>
      </c>
      <c r="L12" s="348">
        <f>COUNTIFS([1]ClientHistorical!$BH:$BH,"Y",[1]ClientHistorical!$BK:$BK,"Unknown",[1]ClientHistorical!$BG:$BG,"HHKidsOnly")</f>
        <v>0</v>
      </c>
      <c r="M12" s="366" t="str">
        <f t="shared" si="5"/>
        <v/>
      </c>
    </row>
    <row r="13" spans="1:13" ht="26.25" customHeight="1">
      <c r="A13" s="302" t="s">
        <v>436</v>
      </c>
      <c r="B13" s="348">
        <f>COUNTIFS([1]ClientHistorical!$BH:$BH,"Y",[1]ClientHistorical!$BK:$BK,"DontKnow")</f>
        <v>0</v>
      </c>
      <c r="C13" s="364" t="str">
        <f t="shared" si="0"/>
        <v/>
      </c>
      <c r="D13" s="348">
        <f>COUNTIFS([1]ClientHistorical!$BH:$BH,"Y",[1]ClientHistorical!$BK:$BK,"DontKnow",[1]ClientHistorical!$BE:$BE,"A")</f>
        <v>0</v>
      </c>
      <c r="E13" s="364" t="str">
        <f t="shared" si="1"/>
        <v/>
      </c>
      <c r="F13" s="348">
        <f>COUNTIFS([1]ClientHistorical!$BH:$BH,"Y",[1]ClientHistorical!$BK:$BK,"DontKnow",[1]ClientHistorical!$BE:$BE,"C")</f>
        <v>0</v>
      </c>
      <c r="G13" s="364" t="str">
        <f t="shared" si="2"/>
        <v/>
      </c>
      <c r="H13" s="348">
        <f>COUNTIFS([1]ClientHistorical!$BH:$BH,"Y",[1]ClientHistorical!$BK:$BK,"DontKnow",[1]ClientHistorical!$BG:$BG,"HHNoKids")</f>
        <v>0</v>
      </c>
      <c r="I13" s="364" t="str">
        <f t="shared" si="3"/>
        <v/>
      </c>
      <c r="J13" s="348">
        <f>COUNTIFS([1]ClientHistorical!$BH:$BH,"Y",[1]ClientHistorical!$BK:$BK,"DontKnow",[1]ClientHistorical!$BG:$BG,"AdultChild")</f>
        <v>0</v>
      </c>
      <c r="K13" s="364" t="str">
        <f t="shared" si="4"/>
        <v/>
      </c>
      <c r="L13" s="348">
        <f>COUNTIFS([1]ClientHistorical!$BH:$BH,"Y",[1]ClientHistorical!$BK:$BK,"DontKnow",[1]ClientHistorical!$BG:$BG,"HHKidsOnly")</f>
        <v>0</v>
      </c>
      <c r="M13" s="366" t="str">
        <f t="shared" si="5"/>
        <v/>
      </c>
    </row>
    <row r="14" spans="1:13" ht="25.5" customHeight="1" thickBot="1">
      <c r="A14" s="184" t="s">
        <v>437</v>
      </c>
      <c r="B14" s="348">
        <f>COUNTIFS([1]ClientHistorical!$BH:$BH,"Y",[1]ClientHistorical!$BK:$BK,"Missing")</f>
        <v>0</v>
      </c>
      <c r="C14" s="364" t="str">
        <f t="shared" si="0"/>
        <v/>
      </c>
      <c r="D14" s="348">
        <f>COUNTIFS([1]ClientHistorical!$BH:$BH,"Y",[1]ClientHistorical!$BK:$BK,"Missing",[1]ClientHistorical!$BE:$BE,"A")</f>
        <v>0</v>
      </c>
      <c r="E14" s="364" t="str">
        <f t="shared" si="1"/>
        <v/>
      </c>
      <c r="F14" s="348">
        <f>COUNTIFS([1]ClientHistorical!$BH:$BH,"Y",[1]ClientHistorical!$BK:$BK,"Missing",[1]ClientHistorical!$BE:$BE,"C")</f>
        <v>0</v>
      </c>
      <c r="G14" s="364" t="str">
        <f t="shared" si="2"/>
        <v/>
      </c>
      <c r="H14" s="348">
        <f>COUNTIFS([1]ClientHistorical!$BH:$BH,"Y",[1]ClientHistorical!$BK:$BK,"Missing",[1]ClientHistorical!$BG:$BG,"HHNoKids")</f>
        <v>0</v>
      </c>
      <c r="I14" s="364" t="str">
        <f t="shared" si="3"/>
        <v/>
      </c>
      <c r="J14" s="348">
        <f>COUNTIFS([1]ClientHistorical!$BH:$BH,"Y",[1]ClientHistorical!$BK:$BK,"Missing",[1]ClientHistorical!$BG:$BG,"AdultChild")</f>
        <v>0</v>
      </c>
      <c r="K14" s="364" t="str">
        <f t="shared" si="4"/>
        <v/>
      </c>
      <c r="L14" s="348">
        <f>COUNTIFS([1]ClientHistorical!$BH:$BH,"Y",[1]ClientHistorical!$BK:$BK,"Missing",[1]ClientHistorical!$BG:$BG,"HHKidsOnly")</f>
        <v>0</v>
      </c>
      <c r="M14" s="366" t="str">
        <f t="shared" si="5"/>
        <v/>
      </c>
    </row>
    <row r="15" spans="1:13" ht="27" thickBot="1">
      <c r="A15" s="202" t="s">
        <v>116</v>
      </c>
      <c r="B15" s="203">
        <f>SUM(B8:B14)</f>
        <v>0</v>
      </c>
      <c r="C15" s="367">
        <v>1</v>
      </c>
      <c r="D15" s="203">
        <f>SUM(D8:D14)</f>
        <v>0</v>
      </c>
      <c r="E15" s="367">
        <v>1</v>
      </c>
      <c r="F15" s="203">
        <f>SUM(F8:F14)</f>
        <v>0</v>
      </c>
      <c r="G15" s="367">
        <v>1</v>
      </c>
      <c r="H15" s="203">
        <f>SUM(H8:H14)</f>
        <v>0</v>
      </c>
      <c r="I15" s="367">
        <v>1</v>
      </c>
      <c r="J15" s="203">
        <f>SUM(J8:J14)</f>
        <v>0</v>
      </c>
      <c r="K15" s="367">
        <v>1</v>
      </c>
      <c r="L15" s="203">
        <f>SUM(L8:L14)</f>
        <v>0</v>
      </c>
      <c r="M15" s="368">
        <v>1</v>
      </c>
    </row>
    <row r="16" spans="1:13" ht="15.75" customHeight="1" thickBot="1">
      <c r="A16" s="741" t="s">
        <v>533</v>
      </c>
      <c r="B16" s="589"/>
      <c r="C16" s="589"/>
      <c r="D16" s="589"/>
      <c r="E16" s="589"/>
      <c r="F16" s="589"/>
      <c r="G16" s="589"/>
      <c r="H16" s="589"/>
      <c r="I16" s="589"/>
      <c r="J16" s="589"/>
      <c r="K16" s="589"/>
      <c r="L16" s="589"/>
      <c r="M16" s="742"/>
    </row>
    <row r="17" spans="1:13" ht="15" customHeight="1">
      <c r="A17" s="201" t="s">
        <v>534</v>
      </c>
      <c r="B17" s="348">
        <f>COUNTIFS([1]ClientHistorical!$BH:$BH,"Y",[1]ClientHistorical!$R:$R,1)</f>
        <v>41</v>
      </c>
      <c r="C17" s="364" t="str">
        <f>IF($B$15&lt;&gt;0, (B17/$B$15), "")</f>
        <v/>
      </c>
      <c r="D17" s="348">
        <f>COUNTIFS([1]ClientHistorical!$BH:$BH,"Y",[1]ClientHistorical!$R:$R,1,[1]ClientHistorical!$BE:$BE,"A")</f>
        <v>0</v>
      </c>
      <c r="E17" s="364" t="str">
        <f>IF($D$15&lt;&gt;0, (D17/$D$15), "")</f>
        <v/>
      </c>
      <c r="F17" s="348">
        <f>COUNTIFS([1]ClientHistorical!$BH:$BH,"Y",[1]ClientHistorical!$R:$R,1,[1]ClientHistorical!$BE:$BE,"C")</f>
        <v>0</v>
      </c>
      <c r="G17" s="364" t="str">
        <f>IF($F$15&lt;&gt;0, (F17/$F$15), "")</f>
        <v/>
      </c>
      <c r="H17" s="348">
        <f>COUNTIFS([1]ClientHistorical!$BH:$BH,"Y",[1]ClientHistorical!$R:$R,1,[1]ClientHistorical!$BG:$BG,"HHNoKids")</f>
        <v>0</v>
      </c>
      <c r="I17" s="364" t="str">
        <f>IF($H$15&lt;&gt;0, (H17/$H$15), "")</f>
        <v/>
      </c>
      <c r="J17" s="348">
        <f>COUNTIFS([1]ClientHistorical!$BH:$BH,"Y",[1]ClientHistorical!$R:$R,1,[1]ClientHistorical!$BG:$BG,"AdultChild")</f>
        <v>0</v>
      </c>
      <c r="K17" s="364" t="str">
        <f>IF($J$15&lt;&gt;0, (J17/$J$15), "")</f>
        <v/>
      </c>
      <c r="L17" s="348">
        <f>COUNTIFS([1]ClientHistorical!$BH:$BH,"Y",[1]ClientHistorical!$R:$R,1,[1]ClientHistorical!$BG:$BG,"HHKidsOnly")</f>
        <v>0</v>
      </c>
      <c r="M17" s="365" t="str">
        <f t="shared" ref="M17:M21" si="6">IF($L$15&lt;&gt;0, (L17/$L$15), "")</f>
        <v/>
      </c>
    </row>
    <row r="18" spans="1:13" ht="15" customHeight="1">
      <c r="A18" s="302" t="s">
        <v>536</v>
      </c>
      <c r="B18" s="348">
        <f>COUNTIFS([1]ClientHistorical!$BH:$BH,"Y",[1]ClientHistorical!$U:$U,1) + COUNTIFS([1]ClientHistorical!$BH:$BH,"Y",[1]ClientHistorical!$U:$U,3)</f>
        <v>50</v>
      </c>
      <c r="C18" s="364" t="str">
        <f t="shared" ref="C18:C23" si="7">IF($B$15&lt;&gt;0, (B18/$B$15), "")</f>
        <v/>
      </c>
      <c r="D18" s="348">
        <f>COUNTIFS([1]ClientHistorical!$BH:$BH,"Y",[1]ClientHistorical!$U:$U,1, [1]ClientHistorical!$BE:$BE,"A") + COUNTIFS([1]ClientHistorical!$BH:$BH,"Y",[1]ClientHistorical!$U:$U,3, [1]ClientHistorical!$BE:$BE,"A")</f>
        <v>0</v>
      </c>
      <c r="E18" s="364" t="str">
        <f t="shared" ref="E18:E23" si="8">IF($D$15&lt;&gt;0, (D18/$D$15), "")</f>
        <v/>
      </c>
      <c r="F18" s="348">
        <f>COUNTIFS([1]ClientHistorical!$BH:$BH,"Y",[1]ClientHistorical!$U:$U,1, [1]ClientHistorical!$BE:$BE,"C") + COUNTIFS([1]ClientHistorical!$BH:$BH,"Y",[1]ClientHistorical!$U:$U,3, [1]ClientHistorical!$BE:$BE,"C")</f>
        <v>0</v>
      </c>
      <c r="G18" s="364" t="str">
        <f t="shared" ref="G18:G23" si="9">IF($F$15&lt;&gt;0, (F18/$F$15), "")</f>
        <v/>
      </c>
      <c r="H18" s="348">
        <f>COUNTIFS([1]ClientHistorical!$BH:$BH,"Y",[1]ClientHistorical!$U:$U,1, [1]ClientHistorical!$BG:$BG,"HHNoKids") + COUNTIFS([1]ClientHistorical!$BH:$BH,"Y",[1]ClientHistorical!$U:$U,3, [1]ClientHistorical!$BG:$BG,"HHNoKids")</f>
        <v>0</v>
      </c>
      <c r="I18" s="364" t="str">
        <f t="shared" ref="I18:I23" si="10">IF($H$15&lt;&gt;0, (H18/$H$15), "")</f>
        <v/>
      </c>
      <c r="J18" s="348">
        <f>COUNTIFS([1]ClientHistorical!$BH:$BH,"Y",[1]ClientHistorical!$U:$U,1, [1]ClientHistorical!$BG:$BG,"AdultChild") + COUNTIFS([1]ClientHistorical!$BH:$BH,"Y",[1]ClientHistorical!$U:$U,3, [1]ClientHistorical!$BG:$BG,"AdultChild")</f>
        <v>0</v>
      </c>
      <c r="K18" s="364" t="str">
        <f t="shared" ref="K18:K23" si="11">IF($J$15&lt;&gt;0, (J18/$J$15), "")</f>
        <v/>
      </c>
      <c r="L18" s="348">
        <f>COUNTIFS([1]ClientHistorical!$BH:$BH,"Y",[1]ClientHistorical!$U:$U,1, [1]ClientHistorical!$BG:$BG,"HHKidsOnly") + COUNTIFS([1]ClientHistorical!$BH:$BH,"Y",[1]ClientHistorical!$U:$U,3, [1]ClientHistorical!$BG:$BG,"HHKidsOnly")</f>
        <v>0</v>
      </c>
      <c r="M18" s="365" t="str">
        <f t="shared" si="6"/>
        <v/>
      </c>
    </row>
    <row r="19" spans="1:13" ht="15" customHeight="1">
      <c r="A19" s="302" t="s">
        <v>538</v>
      </c>
      <c r="B19" s="348">
        <f>COUNTIFS([1]ClientHistorical!$BH:$BH,"Y",[1]ClientHistorical!$U:$U,2) + COUNTIFS([1]ClientHistorical!$BH:$BH,"Y",[1]ClientHistorical!$U:$U,3)</f>
        <v>38</v>
      </c>
      <c r="C19" s="364" t="str">
        <f t="shared" si="7"/>
        <v/>
      </c>
      <c r="D19" s="348">
        <f>COUNTIFS([1]ClientHistorical!$BH:$BH,"Y",[1]ClientHistorical!$U:$U,2,[1]ClientHistorical!$BE:$BE,"A") + COUNTIFS([1]ClientHistorical!$BH:$BH,"Y",[1]ClientHistorical!$U:$U,3,[1]ClientHistorical!$BE:$BE,"A")</f>
        <v>0</v>
      </c>
      <c r="E19" s="364" t="str">
        <f t="shared" si="8"/>
        <v/>
      </c>
      <c r="F19" s="348">
        <f>COUNTIFS([1]ClientHistorical!$BH:$BH,"Y",[1]ClientHistorical!$U:$U,2,[1]ClientHistorical!$BE:$BE,"C") + COUNTIFS([1]ClientHistorical!$BH:$BH,"Y",[1]ClientHistorical!$U:$U,3,[1]ClientHistorical!$BE:$BE,"C")</f>
        <v>0</v>
      </c>
      <c r="G19" s="364" t="str">
        <f t="shared" si="9"/>
        <v/>
      </c>
      <c r="H19" s="348">
        <f>COUNTIFS([1]ClientHistorical!$BH:$BH,"Y",[1]ClientHistorical!$U:$U,2,[1]ClientHistorical!$BG:$BG,"HHNoKids") + COUNTIFS([1]ClientHistorical!$BH:$BH,"Y",[1]ClientHistorical!$U:$U,3,[1]ClientHistorical!$BG:$BG,"HHNoKids")</f>
        <v>0</v>
      </c>
      <c r="I19" s="364" t="str">
        <f t="shared" si="10"/>
        <v/>
      </c>
      <c r="J19" s="348">
        <f>COUNTIFS([1]ClientHistorical!$BH:$BH,"Y",[1]ClientHistorical!$U:$U,2,[1]ClientHistorical!$BG:$BG,"AdultChild") + COUNTIFS([1]ClientHistorical!$BH:$BH,"Y",[1]ClientHistorical!$U:$U,3,[1]ClientHistorical!$BG:$BG,"AdultChild")</f>
        <v>0</v>
      </c>
      <c r="K19" s="364" t="str">
        <f t="shared" si="11"/>
        <v/>
      </c>
      <c r="L19" s="348">
        <f>COUNTIFS([1]ClientHistorical!$BH:$BH,"Y",[1]ClientHistorical!$U:$U,2,[1]ClientHistorical!$BG:$BG,"HHKidsOnly") + COUNTIFS([1]ClientHistorical!$BH:$BH,"Y",[1]ClientHistorical!$U:$U,3,[1]ClientHistorical!$BG:$BG,"HHKidsOnly")</f>
        <v>0</v>
      </c>
      <c r="M19" s="365" t="str">
        <f t="shared" si="6"/>
        <v/>
      </c>
    </row>
    <row r="20" spans="1:13" ht="15" customHeight="1">
      <c r="A20" s="302" t="s">
        <v>540</v>
      </c>
      <c r="B20" s="348">
        <f>COUNTIFS([1]ClientHistorical!$BH:$BH,"Y",[1]ClientHistorical!$N:$N,1)</f>
        <v>20</v>
      </c>
      <c r="C20" s="364" t="str">
        <f t="shared" si="7"/>
        <v/>
      </c>
      <c r="D20" s="348">
        <f>COUNTIFS([1]ClientHistorical!$BH:$BH,"Y",[1]ClientHistorical!$N:$N,1,[1]ClientHistorical!$BE:$BE,"A")</f>
        <v>0</v>
      </c>
      <c r="E20" s="364" t="str">
        <f t="shared" si="8"/>
        <v/>
      </c>
      <c r="F20" s="348">
        <f>COUNTIFS([1]ClientHistorical!$BH:$BH,"Y",[1]ClientHistorical!$N:$N,1,[1]ClientHistorical!$BE:$BE,"C")</f>
        <v>0</v>
      </c>
      <c r="G20" s="364" t="str">
        <f t="shared" si="9"/>
        <v/>
      </c>
      <c r="H20" s="348">
        <f>COUNTIFS([1]ClientHistorical!$BH:$BH,"Y",[1]ClientHistorical!$N:$N,1,[1]ClientHistorical!$BG:$BG,"HHNoKids")</f>
        <v>0</v>
      </c>
      <c r="I20" s="364" t="str">
        <f t="shared" si="10"/>
        <v/>
      </c>
      <c r="J20" s="348">
        <f>COUNTIFS([1]ClientHistorical!$BH:$BH,"Y",[1]ClientHistorical!$N:$N,1,[1]ClientHistorical!$BG:$BG,"AdultChild")</f>
        <v>0</v>
      </c>
      <c r="K20" s="364" t="str">
        <f t="shared" si="11"/>
        <v/>
      </c>
      <c r="L20" s="348">
        <f>COUNTIFS([1]ClientHistorical!$BH:$BH,"Y",[1]ClientHistorical!$N:$N,1,[1]ClientHistorical!$BG:$BG,"HHKidsOnly")</f>
        <v>0</v>
      </c>
      <c r="M20" s="365" t="str">
        <f t="shared" si="6"/>
        <v/>
      </c>
    </row>
    <row r="21" spans="1:13" ht="15" customHeight="1">
      <c r="A21" s="302" t="s">
        <v>542</v>
      </c>
      <c r="B21" s="348">
        <f>COUNTIFS([1]ClientHistorical!$BH:$BH,"Y",[1]ClientHistorical!$P:$P,1)</f>
        <v>8</v>
      </c>
      <c r="C21" s="364" t="str">
        <f t="shared" si="7"/>
        <v/>
      </c>
      <c r="D21" s="348">
        <f>COUNTIFS([1]ClientHistorical!$BH:$BH,"Y",[1]ClientHistorical!$P:$P,1,[1]ClientHistorical!$BE:$BE,"A")</f>
        <v>0</v>
      </c>
      <c r="E21" s="364" t="str">
        <f t="shared" si="8"/>
        <v/>
      </c>
      <c r="F21" s="348">
        <f>COUNTIFS([1]ClientHistorical!$BH:$BH,"Y",[1]ClientHistorical!$P:$P,1,[1]ClientHistorical!$BE:$BE,"C")</f>
        <v>0</v>
      </c>
      <c r="G21" s="364" t="str">
        <f t="shared" si="9"/>
        <v/>
      </c>
      <c r="H21" s="348">
        <f>COUNTIFS([1]ClientHistorical!$BH:$BH,"Y",[1]ClientHistorical!$P:$P,1,[1]ClientHistorical!$BG:$BG,"HHNoKids")</f>
        <v>0</v>
      </c>
      <c r="I21" s="364" t="str">
        <f t="shared" si="10"/>
        <v/>
      </c>
      <c r="J21" s="348">
        <f>COUNTIFS([1]ClientHistorical!$BH:$BH,"Y",[1]ClientHistorical!$P:$P,1,[1]ClientHistorical!$BG:$BG,"AdultChild")</f>
        <v>0</v>
      </c>
      <c r="K21" s="364" t="str">
        <f t="shared" si="11"/>
        <v/>
      </c>
      <c r="L21" s="348">
        <f>COUNTIFS([1]ClientHistorical!$BH:$BH,"Y",[1]ClientHistorical!$P:$P,1,[1]ClientHistorical!$BG:$BG,"HHKidsOnly")</f>
        <v>0</v>
      </c>
      <c r="M21" s="365" t="str">
        <f t="shared" si="6"/>
        <v/>
      </c>
    </row>
    <row r="22" spans="1:13" ht="15" customHeight="1">
      <c r="A22" s="302" t="s">
        <v>544</v>
      </c>
      <c r="B22" s="348">
        <f>COUNTIFS([1]ClientHistorical!$BH:$BH,"Y",[1]ClientHistorical!$L:$L,1)</f>
        <v>7</v>
      </c>
      <c r="C22" s="364" t="str">
        <f t="shared" si="7"/>
        <v/>
      </c>
      <c r="D22" s="348">
        <f>COUNTIFS([1]ClientHistorical!$BH:$BH,"Y",[1]ClientHistorical!$L:$L,1,[1]ClientHistorical!$BE:$BE,"A")</f>
        <v>0</v>
      </c>
      <c r="E22" s="364" t="str">
        <f t="shared" si="8"/>
        <v/>
      </c>
      <c r="F22" s="348">
        <f>COUNTIFS([1]ClientHistorical!$BH:$BH,"Y",[1]ClientHistorical!$L:$L,1,[1]ClientHistorical!$BE:$BE,"C")</f>
        <v>0</v>
      </c>
      <c r="G22" s="364" t="str">
        <f t="shared" si="9"/>
        <v/>
      </c>
      <c r="H22" s="348">
        <f>COUNTIFS([1]ClientHistorical!$BH:$BH,"Y",[1]ClientHistorical!$L:$L,1,[1]ClientHistorical!$BG:$BG,"HHNoKids")</f>
        <v>0</v>
      </c>
      <c r="I22" s="364" t="str">
        <f t="shared" si="10"/>
        <v/>
      </c>
      <c r="J22" s="348">
        <f>COUNTIFS([1]ClientHistorical!$BH:$BH,"Y",[1]ClientHistorical!$L:$L,1,[1]ClientHistorical!$BG:$BG,"AdultChild")</f>
        <v>0</v>
      </c>
      <c r="K22" s="364" t="str">
        <f t="shared" si="11"/>
        <v/>
      </c>
      <c r="L22" s="348">
        <f>COUNTIFS([1]ClientHistorical!$BH:$BH,"Y",[1]ClientHistorical!$L:$L,1,[1]ClientHistorical!$BG:$BG,"HHKidsOnly")</f>
        <v>0</v>
      </c>
      <c r="M22" s="365" t="str">
        <f>IF($L$15&lt;&gt;0, (L22/$L$15), "")</f>
        <v/>
      </c>
    </row>
    <row r="23" spans="1:13" ht="15" customHeight="1" thickBot="1">
      <c r="A23" s="196" t="s">
        <v>546</v>
      </c>
      <c r="B23" s="348">
        <f>COUNTIFS([1]ClientHistorical!$BH:$BH,"Y",[1]ClientHistorical!$J:$J,1)</f>
        <v>30</v>
      </c>
      <c r="C23" s="364" t="str">
        <f t="shared" si="7"/>
        <v/>
      </c>
      <c r="D23" s="348">
        <f>COUNTIFS([1]ClientHistorical!$BH:$BH,"Y",[1]ClientHistorical!$J:$J,1,[1]ClientHistorical!$BE:$BE,"A")</f>
        <v>0</v>
      </c>
      <c r="E23" s="364" t="str">
        <f t="shared" si="8"/>
        <v/>
      </c>
      <c r="F23" s="348">
        <f>COUNTIFS([1]ClientHistorical!$BH:$BH,"Y",[1]ClientHistorical!$J:$J,1,[1]ClientHistorical!$BE:$BE,"C")</f>
        <v>0</v>
      </c>
      <c r="G23" s="364" t="str">
        <f t="shared" si="9"/>
        <v/>
      </c>
      <c r="H23" s="348">
        <f>COUNTIFS([1]ClientHistorical!$BH:$BH,"Y",[1]ClientHistorical!$J:$J,1,[1]ClientHistorical!$BG:$BG,"HHNoKids")</f>
        <v>0</v>
      </c>
      <c r="I23" s="364" t="str">
        <f t="shared" si="10"/>
        <v/>
      </c>
      <c r="J23" s="348">
        <f>COUNTIFS([1]ClientHistorical!$BH:$BH,"Y",[1]ClientHistorical!$J:$J,1,[1]ClientHistorical!$BG:$BG,"AdultChild")</f>
        <v>0</v>
      </c>
      <c r="K23" s="364" t="str">
        <f t="shared" si="11"/>
        <v/>
      </c>
      <c r="L23" s="348">
        <f>COUNTIFS([1]ClientHistorical!$BH:$BH,"Y",[1]ClientHistorical!$J:$J,1,[1]ClientHistorical!$BG:$BG,"HHKidsOnly")</f>
        <v>0</v>
      </c>
      <c r="M23" s="365" t="str">
        <f>IF($L$15&lt;&gt;0, (L23/$L$15), "")</f>
        <v/>
      </c>
    </row>
    <row r="24" spans="1:13" ht="15.75" thickTop="1">
      <c r="G24" s="275"/>
      <c r="K24" s="275"/>
      <c r="M24" s="275"/>
    </row>
  </sheetData>
  <mergeCells count="14">
    <mergeCell ref="A16:M16"/>
    <mergeCell ref="A7:M7"/>
    <mergeCell ref="A4:A6"/>
    <mergeCell ref="A1:M1"/>
    <mergeCell ref="A2:M2"/>
    <mergeCell ref="A3:M3"/>
    <mergeCell ref="H4:I5"/>
    <mergeCell ref="B4:G4"/>
    <mergeCell ref="B5:C5"/>
    <mergeCell ref="D5:E5"/>
    <mergeCell ref="F5:G5"/>
    <mergeCell ref="J4:M4"/>
    <mergeCell ref="J5:K5"/>
    <mergeCell ref="L5:M5"/>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sheetPr codeName="Sheet12"/>
  <dimension ref="A1:K29"/>
  <sheetViews>
    <sheetView topLeftCell="A5" workbookViewId="0">
      <selection activeCell="B9" sqref="B9"/>
    </sheetView>
  </sheetViews>
  <sheetFormatPr defaultRowHeight="15"/>
  <cols>
    <col min="1" max="1" width="17" customWidth="1"/>
  </cols>
  <sheetData>
    <row r="1" spans="1:9" ht="15.75" customHeight="1" thickTop="1">
      <c r="A1" s="517" t="s">
        <v>548</v>
      </c>
      <c r="B1" s="518"/>
      <c r="C1" s="518"/>
      <c r="D1" s="518"/>
      <c r="E1" s="518"/>
      <c r="F1" s="518"/>
      <c r="G1" s="518"/>
      <c r="H1" s="518"/>
      <c r="I1" s="519"/>
    </row>
    <row r="2" spans="1:9" ht="15" customHeight="1">
      <c r="A2" s="728" t="s">
        <v>139</v>
      </c>
      <c r="B2" s="729"/>
      <c r="C2" s="729"/>
      <c r="D2" s="729"/>
      <c r="E2" s="729"/>
      <c r="F2" s="729"/>
      <c r="G2" s="729"/>
      <c r="H2" s="729"/>
      <c r="I2" s="730"/>
    </row>
    <row r="3" spans="1:9" ht="15.75" customHeight="1" thickBot="1">
      <c r="A3" s="731" t="s">
        <v>549</v>
      </c>
      <c r="B3" s="732"/>
      <c r="C3" s="732"/>
      <c r="D3" s="732"/>
      <c r="E3" s="732"/>
      <c r="F3" s="732"/>
      <c r="G3" s="732"/>
      <c r="H3" s="732"/>
      <c r="I3" s="733"/>
    </row>
    <row r="4" spans="1:9" ht="30.75" customHeight="1">
      <c r="A4" s="717" t="s">
        <v>550</v>
      </c>
      <c r="B4" s="739" t="s">
        <v>469</v>
      </c>
      <c r="C4" s="739"/>
      <c r="D4" s="739" t="s">
        <v>552</v>
      </c>
      <c r="E4" s="739"/>
      <c r="F4" s="739" t="s">
        <v>240</v>
      </c>
      <c r="G4" s="739"/>
      <c r="H4" s="739"/>
      <c r="I4" s="749"/>
    </row>
    <row r="5" spans="1:9" ht="51" customHeight="1">
      <c r="A5" s="502"/>
      <c r="B5" s="740" t="s">
        <v>551</v>
      </c>
      <c r="C5" s="740"/>
      <c r="D5" s="740"/>
      <c r="E5" s="740"/>
      <c r="F5" s="750" t="s">
        <v>553</v>
      </c>
      <c r="G5" s="750"/>
      <c r="H5" s="750" t="s">
        <v>554</v>
      </c>
      <c r="I5" s="751"/>
    </row>
    <row r="6" spans="1:9">
      <c r="A6" s="502"/>
      <c r="B6" s="299" t="s">
        <v>242</v>
      </c>
      <c r="C6" s="300" t="s">
        <v>243</v>
      </c>
      <c r="D6" s="299" t="s">
        <v>242</v>
      </c>
      <c r="E6" s="300" t="s">
        <v>243</v>
      </c>
      <c r="F6" s="299" t="s">
        <v>242</v>
      </c>
      <c r="G6" s="300" t="s">
        <v>243</v>
      </c>
      <c r="H6" s="299" t="s">
        <v>242</v>
      </c>
      <c r="I6" s="301" t="s">
        <v>243</v>
      </c>
    </row>
    <row r="7" spans="1:9" ht="15" customHeight="1">
      <c r="A7" s="769" t="s">
        <v>555</v>
      </c>
      <c r="B7" s="770"/>
      <c r="C7" s="770"/>
      <c r="D7" s="770"/>
      <c r="E7" s="770"/>
      <c r="F7" s="770"/>
      <c r="G7" s="770"/>
      <c r="H7" s="770"/>
      <c r="I7" s="771"/>
    </row>
    <row r="8" spans="1:9" ht="27.95" customHeight="1">
      <c r="A8" s="302" t="s">
        <v>556</v>
      </c>
      <c r="B8" s="348">
        <f>COUNTIFS([1]ClientHistorical!$BH:$BH,"Y",[1]ClientHistorical!$BF:$BF,"Y",[1]ClientHistorical!$X:$X,1)</f>
        <v>0</v>
      </c>
      <c r="C8" s="305" t="str">
        <f>IF($B$12&lt;&gt;0, (B8/$B$12), "")</f>
        <v/>
      </c>
      <c r="D8" s="348">
        <f>COUNTIFS([1]ClientHistorical!$BH:$BH,"Y",[1]ClientHistorical!$BG:$BG,"HHNoKids", [1]ClientHistorical!$X:$X,1)</f>
        <v>0</v>
      </c>
      <c r="E8" s="305" t="str">
        <f>IF($D$12&lt;&gt;0, (D8/$D$12), "")</f>
        <v/>
      </c>
      <c r="F8" s="348">
        <f>COUNTIFS([1]ClientHistorical!$BH:$BH,"Y",[1]ClientHistorical!$BE:$BE,"A",[1]ClientHistorical!$BG:$BG,"AdultChild", [1]ClientHistorical!$X:$X,1)</f>
        <v>0</v>
      </c>
      <c r="G8" s="305" t="str">
        <f>IF($F$12&lt;&gt;0, (F8/$F$12), "")</f>
        <v/>
      </c>
      <c r="H8" s="348">
        <f>COUNTIFS([1]ClientHistorical!$BH:$BH,"Y",[1]ClientHistorical!$BG:$BG,"HHKidsOnly",[1]ClientHistorical!$BF:$BF,"Y", [1]ClientHistorical!$X:$X,1)</f>
        <v>0</v>
      </c>
      <c r="I8" s="353" t="str">
        <f>IF($H$12&lt;&gt;0, (H8/$H$12), "")</f>
        <v/>
      </c>
    </row>
    <row r="9" spans="1:9" ht="27.95" customHeight="1">
      <c r="A9" s="302" t="s">
        <v>557</v>
      </c>
      <c r="B9" s="348">
        <f>COUNTIFS([1]ClientHistorical!$BH:$BH,"Y",[1]ClientHistorical!$BF:$BF,"Y",[1]ClientHistorical!$X:$X,0)</f>
        <v>0</v>
      </c>
      <c r="C9" s="305" t="str">
        <f t="shared" ref="C9:C11" si="0">IF($B$12&lt;&gt;0, (B9/$B$12), "")</f>
        <v/>
      </c>
      <c r="D9" s="348">
        <f>COUNTIFS([1]ClientHistorical!$BH:$BH,"Y",[1]ClientHistorical!$BG:$BG,"HHNoKids", [1]ClientHistorical!$X:$X,0)</f>
        <v>0</v>
      </c>
      <c r="E9" s="305" t="str">
        <f t="shared" ref="E9:E11" si="1">IF($D$12&lt;&gt;0, (D9/$D$12), "")</f>
        <v/>
      </c>
      <c r="F9" s="348">
        <f>COUNTIFS([1]ClientHistorical!$BH:$BH,"Y",[1]ClientHistorical!$BE:$BE,"A",[1]ClientHistorical!$BG:$BG,"AdultChild", [1]ClientHistorical!$X:$X,0)</f>
        <v>0</v>
      </c>
      <c r="G9" s="305" t="str">
        <f t="shared" ref="G9:G11" si="2">IF($F$12&lt;&gt;0, (F9/$F$12), "")</f>
        <v/>
      </c>
      <c r="H9" s="348">
        <f>COUNTIFS([1]ClientHistorical!$BH:$BH,"Y",[1]ClientHistorical!$BG:$BG,"HHKidsOnly",[1]ClientHistorical!$BF:$BF,"Y", [1]ClientHistorical!$X:$X,0)</f>
        <v>0</v>
      </c>
      <c r="I9" s="353" t="str">
        <f t="shared" ref="I9:I11" si="3">IF($H$12&lt;&gt;0, (H9/$H$12), "")</f>
        <v/>
      </c>
    </row>
    <row r="10" spans="1:9" ht="27.95" customHeight="1">
      <c r="A10" s="302" t="s">
        <v>436</v>
      </c>
      <c r="B10" s="348">
        <f>COUNTIFS([1]ClientHistorical!$BH:$BH,"Y",[1]ClientHistorical!$BF:$BF,"Y",[1]ClientHistorical!$X:$X,"&gt;=8",[1]ClientHistorical!$X:$X,"&lt;=9")</f>
        <v>0</v>
      </c>
      <c r="C10" s="305" t="str">
        <f t="shared" si="0"/>
        <v/>
      </c>
      <c r="D10" s="348">
        <f>COUNTIFS([1]ClientHistorical!$BH:$BH,"Y",[1]ClientHistorical!$BG:$BG,"HHNoKids", [1]ClientHistorical!$X:$X,"&gt;=8",[1]ClientHistorical!$X:$X,"&lt;=9")</f>
        <v>0</v>
      </c>
      <c r="E10" s="305" t="str">
        <f t="shared" si="1"/>
        <v/>
      </c>
      <c r="F10" s="348">
        <f>COUNTIFS([1]ClientHistorical!$BH:$BH,"Y",[1]ClientHistorical!$BE:$BE,"A",[1]ClientHistorical!$BG:$BG,"AdultChild", [1]ClientHistorical!$X:$X,"&gt;=8",[1]ClientHistorical!$X:$X,"&lt;=9")</f>
        <v>0</v>
      </c>
      <c r="G10" s="305" t="str">
        <f t="shared" si="2"/>
        <v/>
      </c>
      <c r="H10" s="348">
        <f>COUNTIFS([1]ClientHistorical!$BH:$BH,"Y",[1]ClientHistorical!$BG:$BG,"HHKidsOnly",[1]ClientHistorical!$BF:$BF,"Y", [1]ClientHistorical!$X:$X,"&gt;=8",[1]ClientHistorical!$X:$X,"&lt;=9")</f>
        <v>0</v>
      </c>
      <c r="I10" s="353" t="str">
        <f t="shared" si="3"/>
        <v/>
      </c>
    </row>
    <row r="11" spans="1:9" ht="27.95" customHeight="1" thickBot="1">
      <c r="A11" s="184" t="s">
        <v>437</v>
      </c>
      <c r="B11" s="348">
        <f>COUNTIFS([1]ClientHistorical!$BH:$BH,"Y",[1]ClientHistorical!$BF:$BF,"Y",[1]ClientHistorical!$X:$X,"")</f>
        <v>0</v>
      </c>
      <c r="C11" s="305" t="str">
        <f t="shared" si="0"/>
        <v/>
      </c>
      <c r="D11" s="348">
        <f>COUNTIFS([1]ClientHistorical!$BH:$BH,"Y",[1]ClientHistorical!$BG:$BG,"HHNoKids", [1]ClientHistorical!$X:$X,"")</f>
        <v>0</v>
      </c>
      <c r="E11" s="305" t="str">
        <f t="shared" si="1"/>
        <v/>
      </c>
      <c r="F11" s="348">
        <f>COUNTIFS([1]ClientHistorical!$BH:$BH,"Y",[1]ClientHistorical!$BE:$BE,"A",[1]ClientHistorical!$BG:$BG,"AdultChild", [1]ClientHistorical!$X:$X,"")</f>
        <v>0</v>
      </c>
      <c r="G11" s="305" t="str">
        <f t="shared" si="2"/>
        <v/>
      </c>
      <c r="H11" s="348">
        <f>COUNTIFS([1]ClientHistorical!$BH:$BH,"Y",[1]ClientHistorical!$BG:$BG,"HHKidsOnly",[1]ClientHistorical!$BF:$BF,"Y", [1]ClientHistorical!$X:$X,"")</f>
        <v>0</v>
      </c>
      <c r="I11" s="353" t="str">
        <f t="shared" si="3"/>
        <v/>
      </c>
    </row>
    <row r="12" spans="1:9" ht="27.95" customHeight="1" thickBot="1">
      <c r="A12" s="185" t="s">
        <v>116</v>
      </c>
      <c r="B12" s="186">
        <f>SUM(B8:B11)</f>
        <v>0</v>
      </c>
      <c r="C12" s="187">
        <v>1</v>
      </c>
      <c r="D12" s="186">
        <f>SUM(D8:D11)</f>
        <v>0</v>
      </c>
      <c r="E12" s="187">
        <v>1</v>
      </c>
      <c r="F12" s="186">
        <f>SUM(F8:F11)</f>
        <v>0</v>
      </c>
      <c r="G12" s="187">
        <v>1</v>
      </c>
      <c r="H12" s="186">
        <f>SUM(H8:H11)</f>
        <v>0</v>
      </c>
      <c r="I12" s="189">
        <v>1</v>
      </c>
    </row>
    <row r="13" spans="1:9" ht="15" customHeight="1">
      <c r="A13" s="765" t="s">
        <v>558</v>
      </c>
      <c r="B13" s="766"/>
      <c r="C13" s="766"/>
      <c r="D13" s="766"/>
      <c r="E13" s="766"/>
      <c r="F13" s="766"/>
      <c r="G13" s="766"/>
      <c r="H13" s="766"/>
      <c r="I13" s="767"/>
    </row>
    <row r="14" spans="1:9" ht="27.95" customHeight="1">
      <c r="A14" s="302" t="s">
        <v>559</v>
      </c>
      <c r="B14" s="348">
        <f>COUNTIFS([1]ClientHistorical!$BH:$BH,"Y",[1]ClientHistorical!$BF:$BF,"Y",[1]ClientHistorical!$X:$X,1,[1]ClientHistorical!$Y:$Y,1)</f>
        <v>0</v>
      </c>
      <c r="C14" s="305" t="str">
        <f>IF($B$14:$B$19&lt;&gt;0, (B14/($B$14:$B$19)), "")</f>
        <v/>
      </c>
      <c r="D14" s="348">
        <f>COUNTIFS([1]ClientHistorical!$BH:$BH,"Y",[1]ClientHistorical!$BG:$BG,"HHNoKids", [1]ClientHistorical!$X:$X,1,[1]ClientHistorical!$Y:$Y,1)</f>
        <v>0</v>
      </c>
      <c r="E14" s="305" t="str">
        <f>IF(($D$14:$D$19)&lt;&gt;0, (D14/($D$14:$D$19)), "")</f>
        <v/>
      </c>
      <c r="F14" s="348">
        <f>COUNTIFS([1]ClientHistorical!$BH:$BH,"Y",[1]ClientHistorical!$BE:$BE,"A",[1]ClientHistorical!$BG:$BG,"AdultChild", [1]ClientHistorical!$X:$X,1,[1]ClientHistorical!$Y:$Y,1)</f>
        <v>0</v>
      </c>
      <c r="G14" s="305" t="str">
        <f>IF(($F$14:$F$19)&lt;&gt;0, (F14/($F$14:$F$19)), "")</f>
        <v/>
      </c>
      <c r="H14" s="348">
        <f>COUNTIFS([1]ClientHistorical!$BH:$BH,"Y",[1]ClientHistorical!$BG:$BG,"HHKidsOnly",[1]ClientHistorical!$BF:$BF,"Y", [1]ClientHistorical!$X:$X,1,[1]ClientHistorical!$Y:$Y,1)</f>
        <v>0</v>
      </c>
      <c r="I14" s="353" t="str">
        <f>IF(($H$14:$H$19)&lt;&gt;0, (H14/($H$14:$H$19)), "")</f>
        <v/>
      </c>
    </row>
    <row r="15" spans="1:9" ht="27.95" customHeight="1">
      <c r="A15" s="302" t="s">
        <v>560</v>
      </c>
      <c r="B15" s="348">
        <f>COUNTIFS([1]ClientHistorical!$BH:$BH,"Y",[1]ClientHistorical!$BF:$BF,"Y",[1]ClientHistorical!$X:$X,1,[1]ClientHistorical!$Y:$Y,2)</f>
        <v>0</v>
      </c>
      <c r="C15" s="305" t="str">
        <f t="shared" ref="C15:C19" si="4">IF($B$14:$B$19&lt;&gt;0, (B15/($B$14:$B$19)), "")</f>
        <v/>
      </c>
      <c r="D15" s="348">
        <f>COUNTIFS([1]ClientHistorical!$BH:$BH,"Y",[1]ClientHistorical!$BG:$BG,"HHNoKids", [1]ClientHistorical!$X:$X,1,[1]ClientHistorical!$Y:$Y,2)</f>
        <v>0</v>
      </c>
      <c r="E15" s="305" t="str">
        <f t="shared" ref="E15:E19" si="5">IF(($D$14:$D$19)&lt;&gt;0, (D15/($D$14:$D$19)), "")</f>
        <v/>
      </c>
      <c r="F15" s="348">
        <f>COUNTIFS([1]ClientHistorical!$BH:$BH,"Y",[1]ClientHistorical!$BE:$BE,"A",[1]ClientHistorical!$BG:$BG,"AdultChild", [1]ClientHistorical!$X:$X,1,[1]ClientHistorical!$Y:$Y,2)</f>
        <v>0</v>
      </c>
      <c r="G15" s="305" t="str">
        <f t="shared" ref="G15:G19" si="6">IF(($F$14:$F$19)&lt;&gt;0, (F15/($F$14:$F$19)), "")</f>
        <v/>
      </c>
      <c r="H15" s="348">
        <f>COUNTIFS([1]ClientHistorical!$BH:$BH,"Y",[1]ClientHistorical!$BG:$BG,"HHKidsOnly",[1]ClientHistorical!$BF:$BF,"Y", [1]ClientHistorical!$X:$X,1,[1]ClientHistorical!$Y:$Y,2)</f>
        <v>0</v>
      </c>
      <c r="I15" s="353" t="str">
        <f t="shared" ref="I15:I19" si="7">IF(($H$14:$H$19)&lt;&gt;0, (H15/($H$14:$H$19)), "")</f>
        <v/>
      </c>
    </row>
    <row r="16" spans="1:9" ht="27.95" customHeight="1">
      <c r="A16" s="302" t="s">
        <v>562</v>
      </c>
      <c r="B16" s="348">
        <f>COUNTIFS([1]ClientHistorical!$BH:$BH,"Y",[1]ClientHistorical!$BF:$BF,"Y",[1]ClientHistorical!$X:$X,1,[1]ClientHistorical!$Y:$Y,3)</f>
        <v>0</v>
      </c>
      <c r="C16" s="305" t="str">
        <f t="shared" si="4"/>
        <v/>
      </c>
      <c r="D16" s="348">
        <f>COUNTIFS([1]ClientHistorical!$BH:$BH,"Y",[1]ClientHistorical!$BG:$BG,"HHNoKids", [1]ClientHistorical!$X:$X,1,[1]ClientHistorical!$Y:$Y,3)</f>
        <v>0</v>
      </c>
      <c r="E16" s="305" t="str">
        <f t="shared" si="5"/>
        <v/>
      </c>
      <c r="F16" s="348">
        <f>COUNTIFS([1]ClientHistorical!$BH:$BH,"Y",[1]ClientHistorical!$BE:$BE,"A",[1]ClientHistorical!$BG:$BG,"AdultChild", [1]ClientHistorical!$X:$X,1,[1]ClientHistorical!$Y:$Y,3)</f>
        <v>0</v>
      </c>
      <c r="G16" s="305" t="str">
        <f t="shared" si="6"/>
        <v/>
      </c>
      <c r="H16" s="348">
        <f>COUNTIFS([1]ClientHistorical!$BH:$BH,"Y",[1]ClientHistorical!$BG:$BG,"HHKidsOnly",[1]ClientHistorical!$BF:$BF,"Y", [1]ClientHistorical!$X:$X,1,[1]ClientHistorical!$Y:$Y,3)</f>
        <v>0</v>
      </c>
      <c r="I16" s="353" t="str">
        <f t="shared" si="7"/>
        <v/>
      </c>
    </row>
    <row r="17" spans="1:11" ht="27.95" customHeight="1">
      <c r="A17" s="302" t="s">
        <v>564</v>
      </c>
      <c r="B17" s="348">
        <f>COUNTIFS([1]ClientHistorical!$BH:$BH,"Y",[1]ClientHistorical!$BF:$BF,"Y",[1]ClientHistorical!$X:$X,1,[1]ClientHistorical!$Y:$Y,4)</f>
        <v>0</v>
      </c>
      <c r="C17" s="305" t="str">
        <f t="shared" si="4"/>
        <v/>
      </c>
      <c r="D17" s="348">
        <f>COUNTIFS([1]ClientHistorical!$BH:$BH,"Y",[1]ClientHistorical!$BG:$BG,"HHNoKids", [1]ClientHistorical!$X:$X,1,[1]ClientHistorical!$Y:$Y,4)</f>
        <v>0</v>
      </c>
      <c r="E17" s="305" t="str">
        <f t="shared" si="5"/>
        <v/>
      </c>
      <c r="F17" s="348">
        <f>COUNTIFS([1]ClientHistorical!$BH:$BH,"Y",[1]ClientHistorical!$BE:$BE,"A",[1]ClientHistorical!$BG:$BG,"AdultChild", [1]ClientHistorical!$X:$X,1,[1]ClientHistorical!$Y:$Y,4)</f>
        <v>0</v>
      </c>
      <c r="G17" s="305" t="str">
        <f t="shared" si="6"/>
        <v/>
      </c>
      <c r="H17" s="348">
        <f>COUNTIFS([1]ClientHistorical!$BH:$BH,"Y",[1]ClientHistorical!$BG:$BG,"HHKidsOnly",[1]ClientHistorical!$BF:$BF,"Y", [1]ClientHistorical!$X:$X,1,[1]ClientHistorical!$Y:$Y,4)</f>
        <v>0</v>
      </c>
      <c r="I17" s="353" t="str">
        <f t="shared" si="7"/>
        <v/>
      </c>
    </row>
    <row r="18" spans="1:11" ht="27.95" customHeight="1">
      <c r="A18" s="302" t="s">
        <v>436</v>
      </c>
      <c r="B18" s="348">
        <f>COUNTIFS([1]ClientHistorical!$BH:$BH,"Y",[1]ClientHistorical!$BF:$BF,"Y",[1]ClientHistorical!$X:$X,1,[1]ClientHistorical!$Y:$Y,"&gt;=8",[1]ClientHistorical!$Y:$Y,"&lt;=9")</f>
        <v>0</v>
      </c>
      <c r="C18" s="305" t="str">
        <f t="shared" si="4"/>
        <v/>
      </c>
      <c r="D18" s="348">
        <f>COUNTIFS([1]ClientHistorical!$BH:$BH,"Y",[1]ClientHistorical!$BG:$BG,"HHNoKids", [1]ClientHistorical!$X:$X,1,[1]ClientHistorical!$Y:$Y,"&gt;=8",[1]ClientHistorical!$Y:$Y,"&lt;=9")</f>
        <v>0</v>
      </c>
      <c r="E18" s="305" t="str">
        <f t="shared" si="5"/>
        <v/>
      </c>
      <c r="F18" s="348">
        <f>COUNTIFS([1]ClientHistorical!$BH:$BH,"Y",[1]ClientHistorical!$BE:$BE,"A",[1]ClientHistorical!$BG:$BG,"AdultChild", [1]ClientHistorical!$X:$X,1,[1]ClientHistorical!$Y:$Y,"&gt;=8",[1]ClientHistorical!$Y:$Y,"&lt;=9")</f>
        <v>0</v>
      </c>
      <c r="G18" s="305" t="str">
        <f t="shared" si="6"/>
        <v/>
      </c>
      <c r="H18" s="348">
        <f>COUNTIFS([1]ClientHistorical!$BH:$BH,"Y",[1]ClientHistorical!$BG:$BG,"HHKidsOnly",[1]ClientHistorical!$BF:$BF,"Y", [1]ClientHistorical!$X:$X,1,[1]ClientHistorical!$Y:$Y,"&gt;=8",[1]ClientHistorical!$Y:$Y,"&lt;=9")</f>
        <v>0</v>
      </c>
      <c r="I18" s="353" t="str">
        <f t="shared" si="7"/>
        <v/>
      </c>
    </row>
    <row r="19" spans="1:11" ht="27.95" customHeight="1" thickBot="1">
      <c r="A19" s="196" t="s">
        <v>437</v>
      </c>
      <c r="B19" s="369">
        <f>COUNTIFS([1]ClientHistorical!$BH:$BH,"Y",[1]ClientHistorical!$BF:$BF,"Y",[1]ClientHistorical!$X:$X,1,[1]ClientHistorical!$Y:$Y,"")</f>
        <v>0</v>
      </c>
      <c r="C19" s="370" t="str">
        <f t="shared" si="4"/>
        <v/>
      </c>
      <c r="D19" s="369">
        <f>COUNTIFS([1]ClientHistorical!$BH:$BH,"Y",[1]ClientHistorical!$BG:$BG,"HHNoKids", [1]ClientHistorical!$X:$X,1,[1]ClientHistorical!$Y:$Y,"")</f>
        <v>0</v>
      </c>
      <c r="E19" s="370" t="str">
        <f t="shared" si="5"/>
        <v/>
      </c>
      <c r="F19" s="369">
        <f>COUNTIFS([1]ClientHistorical!$BH:$BH,"Y",[1]ClientHistorical!$BE:$BE,"A",[1]ClientHistorical!$BG:$BG,"AdultChild", [1]ClientHistorical!$X:$X,1,[1]ClientHistorical!$Y:$Y,"")</f>
        <v>0</v>
      </c>
      <c r="G19" s="370" t="str">
        <f t="shared" si="6"/>
        <v/>
      </c>
      <c r="H19" s="369">
        <f>COUNTIFS([1]ClientHistorical!$BH:$BH,"Y",[1]ClientHistorical!$BG:$BG,"HHKidsOnly",[1]ClientHistorical!$BF:$BF,"Y", [1]ClientHistorical!$X:$X,1,[1]ClientHistorical!$Y:$Y,"")</f>
        <v>0</v>
      </c>
      <c r="I19" s="371" t="str">
        <f t="shared" si="7"/>
        <v/>
      </c>
    </row>
    <row r="20" spans="1:11" ht="16.5" thickTop="1" thickBot="1"/>
    <row r="21" spans="1:11" ht="28.5" customHeight="1" thickTop="1">
      <c r="A21" s="772" t="s">
        <v>568</v>
      </c>
      <c r="B21" s="773"/>
      <c r="C21" s="773"/>
      <c r="D21" s="773"/>
      <c r="E21" s="773"/>
      <c r="F21" s="773"/>
      <c r="G21" s="773"/>
      <c r="H21" s="773"/>
      <c r="I21" s="774"/>
      <c r="K21" s="232" t="s">
        <v>1139</v>
      </c>
    </row>
    <row r="22" spans="1:11" ht="15.75" customHeight="1">
      <c r="A22" s="775" t="s">
        <v>237</v>
      </c>
      <c r="B22" s="776"/>
      <c r="C22" s="776"/>
      <c r="D22" s="776"/>
      <c r="E22" s="776"/>
      <c r="F22" s="776"/>
      <c r="G22" s="776"/>
      <c r="H22" s="776"/>
      <c r="I22" s="777"/>
    </row>
    <row r="23" spans="1:11" ht="25.5" customHeight="1">
      <c r="A23" s="768"/>
      <c r="B23" s="740" t="s">
        <v>116</v>
      </c>
      <c r="C23" s="740"/>
      <c r="D23" s="740" t="s">
        <v>569</v>
      </c>
      <c r="E23" s="740"/>
      <c r="F23" s="740" t="s">
        <v>164</v>
      </c>
      <c r="G23" s="740"/>
      <c r="H23" s="740"/>
      <c r="I23" s="761"/>
    </row>
    <row r="24" spans="1:11" ht="24" customHeight="1">
      <c r="A24" s="768"/>
      <c r="B24" s="740"/>
      <c r="C24" s="740"/>
      <c r="D24" s="740"/>
      <c r="E24" s="740"/>
      <c r="F24" s="750" t="s">
        <v>570</v>
      </c>
      <c r="G24" s="750"/>
      <c r="H24" s="750" t="s">
        <v>572</v>
      </c>
      <c r="I24" s="751"/>
    </row>
    <row r="25" spans="1:11" ht="30.75" customHeight="1">
      <c r="A25" s="768"/>
      <c r="B25" s="740"/>
      <c r="C25" s="740"/>
      <c r="D25" s="740"/>
      <c r="E25" s="740"/>
      <c r="F25" s="750"/>
      <c r="G25" s="750"/>
      <c r="H25" s="750"/>
      <c r="I25" s="751"/>
    </row>
    <row r="26" spans="1:11">
      <c r="A26" s="762"/>
      <c r="B26" s="763"/>
      <c r="C26" s="763"/>
      <c r="D26" s="763"/>
      <c r="E26" s="763"/>
      <c r="F26" s="763"/>
      <c r="G26" s="763"/>
      <c r="H26" s="763"/>
      <c r="I26" s="764"/>
    </row>
    <row r="27" spans="1:11" ht="24.75" customHeight="1">
      <c r="A27" s="752" t="s">
        <v>571</v>
      </c>
      <c r="B27" s="754"/>
      <c r="C27" s="754"/>
      <c r="D27" s="750"/>
      <c r="E27" s="750"/>
      <c r="F27" s="757"/>
      <c r="G27" s="757"/>
      <c r="H27" s="757"/>
      <c r="I27" s="759"/>
    </row>
    <row r="28" spans="1:11" ht="15.75" thickBot="1">
      <c r="A28" s="753"/>
      <c r="B28" s="755"/>
      <c r="C28" s="755"/>
      <c r="D28" s="756"/>
      <c r="E28" s="756"/>
      <c r="F28" s="758"/>
      <c r="G28" s="758"/>
      <c r="H28" s="758"/>
      <c r="I28" s="760"/>
    </row>
    <row r="29" spans="1:11" ht="15.75" thickTop="1"/>
  </sheetData>
  <mergeCells count="26">
    <mergeCell ref="A26:I26"/>
    <mergeCell ref="A13:I13"/>
    <mergeCell ref="A23:A25"/>
    <mergeCell ref="A7:I7"/>
    <mergeCell ref="A1:I1"/>
    <mergeCell ref="A2:I2"/>
    <mergeCell ref="A3:I3"/>
    <mergeCell ref="A4:A6"/>
    <mergeCell ref="B4:C4"/>
    <mergeCell ref="B5:C5"/>
    <mergeCell ref="D4:E5"/>
    <mergeCell ref="F4:I4"/>
    <mergeCell ref="F5:G5"/>
    <mergeCell ref="H5:I5"/>
    <mergeCell ref="A21:I21"/>
    <mergeCell ref="A22:I22"/>
    <mergeCell ref="F23:I23"/>
    <mergeCell ref="H24:I25"/>
    <mergeCell ref="F24:G25"/>
    <mergeCell ref="D23:E25"/>
    <mergeCell ref="B23:C25"/>
    <mergeCell ref="A27:A28"/>
    <mergeCell ref="B27:C28"/>
    <mergeCell ref="D27:E28"/>
    <mergeCell ref="F27:G28"/>
    <mergeCell ref="H27:I28"/>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sheetPr codeName="Sheet13"/>
  <dimension ref="A1:I43"/>
  <sheetViews>
    <sheetView topLeftCell="A4" workbookViewId="0">
      <selection activeCell="R16" sqref="R16"/>
    </sheetView>
  </sheetViews>
  <sheetFormatPr defaultRowHeight="15"/>
  <cols>
    <col min="1" max="1" width="38.7109375" customWidth="1"/>
    <col min="2" max="5" width="6.28515625" customWidth="1"/>
    <col min="6" max="6" width="7.28515625" customWidth="1"/>
    <col min="7" max="7" width="5.85546875" customWidth="1"/>
    <col min="8" max="9" width="6.7109375" customWidth="1"/>
  </cols>
  <sheetData>
    <row r="1" spans="1:9" ht="15.75" customHeight="1" thickTop="1">
      <c r="A1" s="517" t="s">
        <v>573</v>
      </c>
      <c r="B1" s="518"/>
      <c r="C1" s="518"/>
      <c r="D1" s="518"/>
      <c r="E1" s="518"/>
      <c r="F1" s="518"/>
      <c r="G1" s="518"/>
      <c r="H1" s="518"/>
      <c r="I1" s="519"/>
    </row>
    <row r="2" spans="1:9" ht="15" customHeight="1">
      <c r="A2" s="728" t="s">
        <v>15</v>
      </c>
      <c r="B2" s="729"/>
      <c r="C2" s="729"/>
      <c r="D2" s="729"/>
      <c r="E2" s="729"/>
      <c r="F2" s="729"/>
      <c r="G2" s="729"/>
      <c r="H2" s="729"/>
      <c r="I2" s="730"/>
    </row>
    <row r="3" spans="1:9" ht="15.75" customHeight="1" thickBot="1">
      <c r="A3" s="731" t="s">
        <v>221</v>
      </c>
      <c r="B3" s="732"/>
      <c r="C3" s="732"/>
      <c r="D3" s="732"/>
      <c r="E3" s="732"/>
      <c r="F3" s="732"/>
      <c r="G3" s="732"/>
      <c r="H3" s="732"/>
      <c r="I3" s="733"/>
    </row>
    <row r="4" spans="1:9" ht="26.25" customHeight="1">
      <c r="A4" s="717" t="s">
        <v>574</v>
      </c>
      <c r="B4" s="739" t="s">
        <v>116</v>
      </c>
      <c r="C4" s="739"/>
      <c r="D4" s="739" t="s">
        <v>515</v>
      </c>
      <c r="E4" s="739"/>
      <c r="F4" s="739" t="s">
        <v>516</v>
      </c>
      <c r="G4" s="739"/>
      <c r="H4" s="739"/>
      <c r="I4" s="749"/>
    </row>
    <row r="5" spans="1:9" ht="47.25" customHeight="1">
      <c r="A5" s="502"/>
      <c r="B5" s="740"/>
      <c r="C5" s="740"/>
      <c r="D5" s="740"/>
      <c r="E5" s="740"/>
      <c r="F5" s="712" t="s">
        <v>119</v>
      </c>
      <c r="G5" s="712"/>
      <c r="H5" s="712" t="s">
        <v>120</v>
      </c>
      <c r="I5" s="713"/>
    </row>
    <row r="6" spans="1:9">
      <c r="A6" s="502"/>
      <c r="B6" s="297" t="s">
        <v>242</v>
      </c>
      <c r="C6" s="300" t="s">
        <v>519</v>
      </c>
      <c r="D6" s="299" t="s">
        <v>242</v>
      </c>
      <c r="E6" s="300" t="s">
        <v>519</v>
      </c>
      <c r="F6" s="299" t="s">
        <v>242</v>
      </c>
      <c r="G6" s="300" t="s">
        <v>519</v>
      </c>
      <c r="H6" s="299" t="s">
        <v>242</v>
      </c>
      <c r="I6" s="301" t="s">
        <v>519</v>
      </c>
    </row>
    <row r="7" spans="1:9">
      <c r="A7" s="714" t="s">
        <v>575</v>
      </c>
      <c r="B7" s="715"/>
      <c r="C7" s="715"/>
      <c r="D7" s="715"/>
      <c r="E7" s="715"/>
      <c r="F7" s="715"/>
      <c r="G7" s="715"/>
      <c r="H7" s="715"/>
      <c r="I7" s="716"/>
    </row>
    <row r="8" spans="1:9" ht="26.25" customHeight="1">
      <c r="A8" s="210" t="s">
        <v>576</v>
      </c>
      <c r="B8" s="348">
        <f>COUNTIFS(PriorResidence,1,LastEpisode,"Y")</f>
        <v>31</v>
      </c>
      <c r="C8" s="305">
        <f>IF($B$31&lt;&gt;0, (B8/$B$31), "")</f>
        <v>0.19745222929936307</v>
      </c>
      <c r="D8" s="348">
        <f>COUNTIFS(PriorResidence,1,LastEpisode,"Y", HouseholdTypePP, "HHNoKids")</f>
        <v>12</v>
      </c>
      <c r="E8" s="305">
        <f>IF($D$31&lt;&gt;0, (D8/$D$31), "")</f>
        <v>0.16438356164383561</v>
      </c>
      <c r="F8" s="348">
        <f>COUNTIFS(PriorResidence,1,LastEpisode,"Y", HouseholdTypePP, "AdultChild")</f>
        <v>0</v>
      </c>
      <c r="G8" s="305" t="str">
        <f>IF($F$31&lt;&gt;0, (F8/$F$31), "")</f>
        <v/>
      </c>
      <c r="H8" s="348">
        <f>COUNTIFS(PriorResidence,1,LastEpisode,"Y", HouseholdTypePP, "HHKidsOnly")</f>
        <v>4</v>
      </c>
      <c r="I8" s="353">
        <f>IF($H$31&lt;&gt;0, (H8/$H$31), "")</f>
        <v>6.8965517241379309E-2</v>
      </c>
    </row>
    <row r="9" spans="1:9" ht="26.25" customHeight="1">
      <c r="A9" s="210" t="s">
        <v>577</v>
      </c>
      <c r="B9" s="348">
        <f>COUNTIFS(PriorResidence,2,LastEpisode,"Y")</f>
        <v>2</v>
      </c>
      <c r="C9" s="305">
        <f t="shared" ref="C9:C11" si="0">IF($B$31&lt;&gt;0, (B9/$B$31), "")</f>
        <v>1.2738853503184714E-2</v>
      </c>
      <c r="D9" s="348">
        <f>COUNTIFS(PriorResidence,2,LastEpisode,"Y", HouseholdTypePP, "HHNoKids")</f>
        <v>2</v>
      </c>
      <c r="E9" s="305">
        <f t="shared" ref="E9:E11" si="1">IF($D$31&lt;&gt;0, (D9/$D$31), "")</f>
        <v>2.7397260273972601E-2</v>
      </c>
      <c r="F9" s="348">
        <f>COUNTIFS(PriorResidence,2,LastEpisode,"Y", HouseholdTypePP, "AdultChild")</f>
        <v>0</v>
      </c>
      <c r="G9" s="305" t="str">
        <f t="shared" ref="G9:G11" si="2">IF($F$31&lt;&gt;0, (F9/$F$31), "")</f>
        <v/>
      </c>
      <c r="H9" s="348">
        <f>COUNTIFS(PriorResidence,2,LastEpisode,"Y", HouseholdTypePP, "HHKidsOnly")</f>
        <v>0</v>
      </c>
      <c r="I9" s="353">
        <f t="shared" ref="I9:I11" si="3">IF($H$31&lt;&gt;0, (H9/$H$31), "")</f>
        <v>0</v>
      </c>
    </row>
    <row r="10" spans="1:9" ht="48" customHeight="1">
      <c r="A10" s="210" t="s">
        <v>578</v>
      </c>
      <c r="B10" s="348">
        <f>COUNTIFS(PriorResidence,16,LastEpisode,"Y")</f>
        <v>6</v>
      </c>
      <c r="C10" s="305">
        <f t="shared" si="0"/>
        <v>3.8216560509554139E-2</v>
      </c>
      <c r="D10" s="348">
        <f>COUNTIFS(PriorResidence,16,LastEpisode,"Y", HouseholdTypePP, "HHNoKids")</f>
        <v>2</v>
      </c>
      <c r="E10" s="305">
        <f t="shared" si="1"/>
        <v>2.7397260273972601E-2</v>
      </c>
      <c r="F10" s="348">
        <f>COUNTIFS(PriorResidence,16,LastEpisode,"Y", HouseholdTypePP, "AdultChild")</f>
        <v>0</v>
      </c>
      <c r="G10" s="305" t="str">
        <f t="shared" si="2"/>
        <v/>
      </c>
      <c r="H10" s="348">
        <f>COUNTIFS(PriorResidence,16,LastEpisode,"Y", HouseholdTypePP, "HHKidsOnly")</f>
        <v>0</v>
      </c>
      <c r="I10" s="353">
        <f t="shared" si="3"/>
        <v>0</v>
      </c>
    </row>
    <row r="11" spans="1:9" ht="26.25" customHeight="1">
      <c r="A11" s="210" t="s">
        <v>579</v>
      </c>
      <c r="B11" s="348">
        <f>COUNTIFS(PriorResidence,18,LastEpisode,"Y")</f>
        <v>0</v>
      </c>
      <c r="C11" s="305">
        <f t="shared" si="0"/>
        <v>0</v>
      </c>
      <c r="D11" s="348">
        <f>COUNTIFS(PriorResidence,18,LastEpisode,"Y", HouseholdTypePP, "HHNoKids")</f>
        <v>0</v>
      </c>
      <c r="E11" s="305">
        <f t="shared" si="1"/>
        <v>0</v>
      </c>
      <c r="F11" s="348">
        <f>COUNTIFS(PriorResidence,18,LastEpisode,"Y", HouseholdTypePP, "AdultChild")</f>
        <v>0</v>
      </c>
      <c r="G11" s="305" t="str">
        <f t="shared" si="2"/>
        <v/>
      </c>
      <c r="H11" s="348">
        <f>COUNTIFS(PriorResidence,18,LastEpisode,"Y", HouseholdTypePP, "HHKidsOnly")</f>
        <v>0</v>
      </c>
      <c r="I11" s="353">
        <f t="shared" si="3"/>
        <v>0</v>
      </c>
    </row>
    <row r="12" spans="1:9" ht="15" customHeight="1">
      <c r="A12" s="714" t="s">
        <v>580</v>
      </c>
      <c r="B12" s="715"/>
      <c r="C12" s="715"/>
      <c r="D12" s="715"/>
      <c r="E12" s="715"/>
      <c r="F12" s="715"/>
      <c r="G12" s="715"/>
      <c r="H12" s="715"/>
      <c r="I12" s="716"/>
    </row>
    <row r="13" spans="1:9" ht="15" customHeight="1">
      <c r="A13" s="205" t="s">
        <v>581</v>
      </c>
      <c r="B13" s="348">
        <f>COUNTIFS(PriorResidence,4,LastEpisode,"Y")</f>
        <v>1</v>
      </c>
      <c r="C13" s="305">
        <f t="shared" ref="C13:C17" si="4">IF($B$31&lt;&gt;0, (B13/$B$31), "")</f>
        <v>6.369426751592357E-3</v>
      </c>
      <c r="D13" s="348">
        <f>COUNTIFS(PriorResidence,4,LastEpisode,"Y", HouseholdTypePP, "HHNoKids")</f>
        <v>1</v>
      </c>
      <c r="E13" s="305">
        <f t="shared" ref="E13:E17" si="5">IF($D$31&lt;&gt;0, (D13/$D$31), "")</f>
        <v>1.3698630136986301E-2</v>
      </c>
      <c r="F13" s="348">
        <f>COUNTIFS(PriorResidence,4,LastEpisode,"Y", HouseholdTypePP, "AdultChild")</f>
        <v>0</v>
      </c>
      <c r="G13" s="305" t="str">
        <f t="shared" ref="G13:G17" si="6">IF($F$31&lt;&gt;0, (F13/$F$31), "")</f>
        <v/>
      </c>
      <c r="H13" s="348">
        <f>COUNTIFS(PriorResidence,4,LastEpisode,"Y", HouseholdTypePP, "HHKidsOnly")</f>
        <v>0</v>
      </c>
      <c r="I13" s="353">
        <f t="shared" ref="I13:I17" si="7">IF($H$31&lt;&gt;0, (H13/$H$31), "")</f>
        <v>0</v>
      </c>
    </row>
    <row r="14" spans="1:9" ht="15" customHeight="1">
      <c r="A14" s="205" t="s">
        <v>582</v>
      </c>
      <c r="B14" s="348">
        <f>COUNTIFS(PriorResidence,5,LastEpisode,"Y")</f>
        <v>1</v>
      </c>
      <c r="C14" s="305">
        <f t="shared" si="4"/>
        <v>6.369426751592357E-3</v>
      </c>
      <c r="D14" s="348">
        <f>COUNTIFS(PriorResidence,5,LastEpisode,"Y", HouseholdTypePP, "HHNoKids")</f>
        <v>1</v>
      </c>
      <c r="E14" s="305">
        <f t="shared" si="5"/>
        <v>1.3698630136986301E-2</v>
      </c>
      <c r="F14" s="348">
        <f>COUNTIFS(PriorResidence,5,LastEpisode,"Y", HouseholdTypePP, "AdultChild")</f>
        <v>0</v>
      </c>
      <c r="G14" s="305" t="str">
        <f t="shared" si="6"/>
        <v/>
      </c>
      <c r="H14" s="348">
        <f>COUNTIFS(PriorResidence,5,LastEpisode,"Y", HouseholdTypePP, "HHKidsOnly")</f>
        <v>0</v>
      </c>
      <c r="I14" s="353">
        <f t="shared" si="7"/>
        <v>0</v>
      </c>
    </row>
    <row r="15" spans="1:9" ht="15" customHeight="1">
      <c r="A15" s="205" t="s">
        <v>583</v>
      </c>
      <c r="B15" s="348">
        <f>COUNTIFS(PriorResidence,6,LastEpisode,"Y")</f>
        <v>1</v>
      </c>
      <c r="C15" s="305">
        <f t="shared" si="4"/>
        <v>6.369426751592357E-3</v>
      </c>
      <c r="D15" s="348">
        <f>COUNTIFS(PriorResidence,6,LastEpisode,"Y", HouseholdTypePP, "HHNoKids")</f>
        <v>1</v>
      </c>
      <c r="E15" s="305">
        <f t="shared" si="5"/>
        <v>1.3698630136986301E-2</v>
      </c>
      <c r="F15" s="348">
        <f>COUNTIFS(PriorResidence,6,LastEpisode,"Y", HouseholdTypePP, "AdultChild")</f>
        <v>0</v>
      </c>
      <c r="G15" s="305" t="str">
        <f t="shared" si="6"/>
        <v/>
      </c>
      <c r="H15" s="348">
        <f>COUNTIFS(PriorResidence,6,LastEpisode,"Y", HouseholdTypePP, "HHKidsOnly")</f>
        <v>0</v>
      </c>
      <c r="I15" s="353">
        <f t="shared" si="7"/>
        <v>0</v>
      </c>
    </row>
    <row r="16" spans="1:9" ht="15" customHeight="1">
      <c r="A16" s="205" t="s">
        <v>584</v>
      </c>
      <c r="B16" s="348">
        <f>COUNTIFS(PriorResidence,7,LastEpisode,"Y")</f>
        <v>1</v>
      </c>
      <c r="C16" s="305">
        <f t="shared" si="4"/>
        <v>6.369426751592357E-3</v>
      </c>
      <c r="D16" s="348">
        <f>COUNTIFS(PriorResidence,7,LastEpisode,"Y", HouseholdTypePP, "HHNoKids")</f>
        <v>1</v>
      </c>
      <c r="E16" s="305">
        <f t="shared" si="5"/>
        <v>1.3698630136986301E-2</v>
      </c>
      <c r="F16" s="348">
        <f>COUNTIFS(PriorResidence,7,LastEpisode,"Y", HouseholdTypePP, "AdultChild")</f>
        <v>0</v>
      </c>
      <c r="G16" s="305" t="str">
        <f t="shared" si="6"/>
        <v/>
      </c>
      <c r="H16" s="348">
        <f>COUNTIFS(PriorResidence,7,LastEpisode,"Y", HouseholdTypePP, "HHKidsOnly")</f>
        <v>0</v>
      </c>
      <c r="I16" s="353">
        <f t="shared" si="7"/>
        <v>0</v>
      </c>
    </row>
    <row r="17" spans="1:9" ht="15" customHeight="1">
      <c r="A17" s="205" t="s">
        <v>585</v>
      </c>
      <c r="B17" s="348">
        <f>COUNTIFS(PriorResidence,15,LastEpisode,"Y")</f>
        <v>0</v>
      </c>
      <c r="C17" s="305">
        <f t="shared" si="4"/>
        <v>0</v>
      </c>
      <c r="D17" s="348">
        <f>COUNTIFS(PriorResidence,15,LastEpisode,"Y", HouseholdTypePP, "HHNoKids")</f>
        <v>0</v>
      </c>
      <c r="E17" s="305">
        <f t="shared" si="5"/>
        <v>0</v>
      </c>
      <c r="F17" s="348">
        <f>COUNTIFS(PriorResidence,15,LastEpisode,"Y", HouseholdTypePP, "AdultChild")</f>
        <v>0</v>
      </c>
      <c r="G17" s="305" t="str">
        <f t="shared" si="6"/>
        <v/>
      </c>
      <c r="H17" s="348">
        <f>COUNTIFS(PriorResidence,15,LastEpisode,"Y", HouseholdTypePP, "HHKidsOnly")</f>
        <v>0</v>
      </c>
      <c r="I17" s="353">
        <f t="shared" si="7"/>
        <v>0</v>
      </c>
    </row>
    <row r="18" spans="1:9">
      <c r="A18" s="714" t="s">
        <v>586</v>
      </c>
      <c r="B18" s="715"/>
      <c r="C18" s="715"/>
      <c r="D18" s="715"/>
      <c r="E18" s="715"/>
      <c r="F18" s="715"/>
      <c r="G18" s="715"/>
      <c r="H18" s="715"/>
      <c r="I18" s="716"/>
    </row>
    <row r="19" spans="1:9" ht="15" customHeight="1">
      <c r="A19" s="205" t="s">
        <v>587</v>
      </c>
      <c r="B19" s="348">
        <f>COUNTIFS(PriorResidence,3,LastEpisode,"Y")</f>
        <v>7</v>
      </c>
      <c r="C19" s="305">
        <f t="shared" ref="C19:C30" si="8">IF($B$31&lt;&gt;0, (B19/$B$31), "")</f>
        <v>4.4585987261146494E-2</v>
      </c>
      <c r="D19" s="348">
        <f>COUNTIFS(PriorResidence,3,LastEpisode,"Y", HouseholdTypePP, "HHNoKids")</f>
        <v>3</v>
      </c>
      <c r="E19" s="305">
        <f t="shared" ref="E19:E30" si="9">IF($D$31&lt;&gt;0, (D19/$D$31), "")</f>
        <v>4.1095890410958902E-2</v>
      </c>
      <c r="F19" s="348">
        <f>COUNTIFS(PriorResidence,3,LastEpisode,"Y", HouseholdTypePP, "AdultChild")</f>
        <v>0</v>
      </c>
      <c r="G19" s="305" t="str">
        <f t="shared" ref="G19:G30" si="10">IF($F$31&lt;&gt;0, (F19/$F$31), "")</f>
        <v/>
      </c>
      <c r="H19" s="348">
        <f>COUNTIFS(PriorResidence,3,LastEpisode,"Y", HouseholdTypePP, "HHKidsOnly")</f>
        <v>4</v>
      </c>
      <c r="I19" s="353">
        <f t="shared" ref="I19:I30" si="11">IF($H$31&lt;&gt;0, (H19/$H$31), "")</f>
        <v>6.8965517241379309E-2</v>
      </c>
    </row>
    <row r="20" spans="1:9" ht="15" customHeight="1">
      <c r="A20" s="302" t="s">
        <v>588</v>
      </c>
      <c r="B20" s="348">
        <f>COUNTIFS(PriorResidence,23,LastEpisode,"Y")</f>
        <v>0</v>
      </c>
      <c r="C20" s="305">
        <f t="shared" si="8"/>
        <v>0</v>
      </c>
      <c r="D20" s="348">
        <f>COUNTIFS(PriorResidence,23,LastEpisode,"Y", HouseholdTypePP, "HHNoKids")</f>
        <v>0</v>
      </c>
      <c r="E20" s="305">
        <f t="shared" si="9"/>
        <v>0</v>
      </c>
      <c r="F20" s="348">
        <f>COUNTIFS(PriorResidence,23,LastEpisode,"Y", HouseholdTypePP, "AdultChild")</f>
        <v>0</v>
      </c>
      <c r="G20" s="305" t="str">
        <f t="shared" si="10"/>
        <v/>
      </c>
      <c r="H20" s="348">
        <f>COUNTIFS(PriorResidence,23,LastEpisode,"Y", HouseholdTypePP, "HHKidsOnly")</f>
        <v>0</v>
      </c>
      <c r="I20" s="353">
        <f t="shared" si="11"/>
        <v>0</v>
      </c>
    </row>
    <row r="21" spans="1:9" ht="15" customHeight="1">
      <c r="A21" s="302" t="s">
        <v>589</v>
      </c>
      <c r="B21" s="348">
        <f>COUNTIFS(PriorResidence,21,LastEpisode,"Y")</f>
        <v>3</v>
      </c>
      <c r="C21" s="305">
        <f t="shared" si="8"/>
        <v>1.9108280254777069E-2</v>
      </c>
      <c r="D21" s="348">
        <f>COUNTIFS(PriorResidence,21,LastEpisode,"Y", HouseholdTypePP, "HHNoKids")</f>
        <v>2</v>
      </c>
      <c r="E21" s="305">
        <f t="shared" si="9"/>
        <v>2.7397260273972601E-2</v>
      </c>
      <c r="F21" s="348">
        <f>COUNTIFS(PriorResidence,21,LastEpisode,"Y", HouseholdTypePP, "AdultChild")</f>
        <v>0</v>
      </c>
      <c r="G21" s="305" t="str">
        <f t="shared" si="10"/>
        <v/>
      </c>
      <c r="H21" s="348">
        <f>COUNTIFS(PriorResidence,21,LastEpisode,"Y", HouseholdTypePP, "HHKidsOnly")</f>
        <v>1</v>
      </c>
      <c r="I21" s="353">
        <f t="shared" si="11"/>
        <v>1.7241379310344827E-2</v>
      </c>
    </row>
    <row r="22" spans="1:9" ht="15" customHeight="1">
      <c r="A22" s="302" t="s">
        <v>590</v>
      </c>
      <c r="B22" s="348">
        <f>COUNTIFS(PriorResidence,22,LastEpisode,"Y")</f>
        <v>39</v>
      </c>
      <c r="C22" s="305">
        <f t="shared" si="8"/>
        <v>0.24840764331210191</v>
      </c>
      <c r="D22" s="348">
        <f>COUNTIFS(PriorResidence,22,LastEpisode,"Y", HouseholdTypePP, "HHNoKids")</f>
        <v>19</v>
      </c>
      <c r="E22" s="305">
        <f t="shared" si="9"/>
        <v>0.26027397260273971</v>
      </c>
      <c r="F22" s="348">
        <f>COUNTIFS(PriorResidence,22,LastEpisode,"Y", HouseholdTypePP, "AdultChild")</f>
        <v>0</v>
      </c>
      <c r="G22" s="305" t="str">
        <f t="shared" si="10"/>
        <v/>
      </c>
      <c r="H22" s="348">
        <f>COUNTIFS(PriorResidence,22,LastEpisode,"Y", HouseholdTypePP, "HHKidsOnly")</f>
        <v>17</v>
      </c>
      <c r="I22" s="353">
        <f t="shared" si="11"/>
        <v>0.29310344827586204</v>
      </c>
    </row>
    <row r="23" spans="1:9" ht="15" customHeight="1">
      <c r="A23" s="302" t="s">
        <v>591</v>
      </c>
      <c r="B23" s="348">
        <f>COUNTIFS(PriorResidence,19,LastEpisode,"Y")</f>
        <v>1</v>
      </c>
      <c r="C23" s="305">
        <f t="shared" si="8"/>
        <v>6.369426751592357E-3</v>
      </c>
      <c r="D23" s="348">
        <f>COUNTIFS(PriorResidence,19,LastEpisode,"Y", HouseholdTypePP, "HHNoKids")</f>
        <v>1</v>
      </c>
      <c r="E23" s="305">
        <f t="shared" si="9"/>
        <v>1.3698630136986301E-2</v>
      </c>
      <c r="F23" s="348">
        <f>COUNTIFS(PriorResidence,19,LastEpisode,"Y", HouseholdTypePP, "AdultChild")</f>
        <v>0</v>
      </c>
      <c r="G23" s="305" t="str">
        <f t="shared" si="10"/>
        <v/>
      </c>
      <c r="H23" s="348">
        <f>COUNTIFS(PriorResidence,19,LastEpisode,"Y", HouseholdTypePP, "HHKidsOnly")</f>
        <v>0</v>
      </c>
      <c r="I23" s="353">
        <f t="shared" si="11"/>
        <v>0</v>
      </c>
    </row>
    <row r="24" spans="1:9" ht="15" customHeight="1">
      <c r="A24" s="302" t="s">
        <v>592</v>
      </c>
      <c r="B24" s="348">
        <f>COUNTIFS(PriorResidence,20,LastEpisode,"Y")</f>
        <v>21</v>
      </c>
      <c r="C24" s="305">
        <f t="shared" si="8"/>
        <v>0.13375796178343949</v>
      </c>
      <c r="D24" s="348">
        <f>COUNTIFS(PriorResidence,20,LastEpisode,"Y", HouseholdTypePP, "HHNoKids")</f>
        <v>11</v>
      </c>
      <c r="E24" s="305">
        <f t="shared" si="9"/>
        <v>0.15068493150684931</v>
      </c>
      <c r="F24" s="348">
        <f>COUNTIFS(PriorResidence,20,LastEpisode,"Y", HouseholdTypePP, "AdultChild")</f>
        <v>0</v>
      </c>
      <c r="G24" s="305" t="str">
        <f t="shared" si="10"/>
        <v/>
      </c>
      <c r="H24" s="348">
        <f>COUNTIFS(PriorResidence,20,LastEpisode,"Y", HouseholdTypePP, "HHKidsOnly")</f>
        <v>10</v>
      </c>
      <c r="I24" s="353">
        <f t="shared" si="11"/>
        <v>0.17241379310344829</v>
      </c>
    </row>
    <row r="25" spans="1:9" ht="15" customHeight="1">
      <c r="A25" s="205" t="s">
        <v>593</v>
      </c>
      <c r="B25" s="348">
        <f>COUNTIFS(PriorResidence,14,LastEpisode,"Y")</f>
        <v>7</v>
      </c>
      <c r="C25" s="305">
        <f t="shared" si="8"/>
        <v>4.4585987261146494E-2</v>
      </c>
      <c r="D25" s="348">
        <f>COUNTIFS(PriorResidence,14,LastEpisode,"Y", HouseholdTypePP, "HHNoKids")</f>
        <v>3</v>
      </c>
      <c r="E25" s="305">
        <f t="shared" si="9"/>
        <v>4.1095890410958902E-2</v>
      </c>
      <c r="F25" s="348">
        <f>COUNTIFS(PriorResidence,14,LastEpisode,"Y", HouseholdTypePP, "AdultChild")</f>
        <v>0</v>
      </c>
      <c r="G25" s="305" t="str">
        <f t="shared" si="10"/>
        <v/>
      </c>
      <c r="H25" s="348">
        <f>COUNTIFS(PriorResidence,14,LastEpisode,"Y", HouseholdTypePP, "HHKidsOnly")</f>
        <v>4</v>
      </c>
      <c r="I25" s="353">
        <f t="shared" si="11"/>
        <v>6.8965517241379309E-2</v>
      </c>
    </row>
    <row r="26" spans="1:9" ht="15" customHeight="1">
      <c r="A26" s="205" t="s">
        <v>594</v>
      </c>
      <c r="B26" s="348">
        <f>COUNTIFS(PriorResidence,12,LastEpisode,"Y")</f>
        <v>25</v>
      </c>
      <c r="C26" s="305">
        <f t="shared" si="8"/>
        <v>0.15923566878980891</v>
      </c>
      <c r="D26" s="348">
        <f>COUNTIFS(PriorResidence,12,LastEpisode,"Y", HouseholdTypePP, "HHNoKids")</f>
        <v>9</v>
      </c>
      <c r="E26" s="305">
        <f t="shared" si="9"/>
        <v>0.12328767123287671</v>
      </c>
      <c r="F26" s="348">
        <f>COUNTIFS(PriorResidence,12,LastEpisode,"Y", HouseholdTypePP, "AdultChild")</f>
        <v>0</v>
      </c>
      <c r="G26" s="305" t="str">
        <f t="shared" si="10"/>
        <v/>
      </c>
      <c r="H26" s="348">
        <f>COUNTIFS(PriorResidence,12,LastEpisode,"Y", HouseholdTypePP, "HHKidsOnly")</f>
        <v>12</v>
      </c>
      <c r="I26" s="353">
        <f t="shared" si="11"/>
        <v>0.20689655172413793</v>
      </c>
    </row>
    <row r="27" spans="1:9" ht="15" customHeight="1">
      <c r="A27" s="205" t="s">
        <v>595</v>
      </c>
      <c r="B27" s="348">
        <f>COUNTIFS(PriorResidence,13,LastEpisode,"Y")</f>
        <v>10</v>
      </c>
      <c r="C27" s="305">
        <f t="shared" si="8"/>
        <v>6.3694267515923567E-2</v>
      </c>
      <c r="D27" s="348">
        <f>COUNTIFS(PriorResidence,13,LastEpisode,"Y", HouseholdTypePP, "HHNoKids")</f>
        <v>4</v>
      </c>
      <c r="E27" s="305">
        <f t="shared" si="9"/>
        <v>5.4794520547945202E-2</v>
      </c>
      <c r="F27" s="348">
        <f>COUNTIFS(PriorResidence,13,LastEpisode,"Y", HouseholdTypePP, "AdultChild")</f>
        <v>0</v>
      </c>
      <c r="G27" s="305" t="str">
        <f t="shared" si="10"/>
        <v/>
      </c>
      <c r="H27" s="348">
        <f>COUNTIFS(PriorResidence,13,LastEpisode,"Y", HouseholdTypePP, "HHKidsOnly")</f>
        <v>6</v>
      </c>
      <c r="I27" s="353">
        <f t="shared" si="11"/>
        <v>0.10344827586206896</v>
      </c>
    </row>
    <row r="28" spans="1:9" ht="15" customHeight="1">
      <c r="A28" s="205" t="s">
        <v>596</v>
      </c>
      <c r="B28" s="348">
        <f>COUNTIFS(PriorResidence,17,LastEpisode,"Y")</f>
        <v>0</v>
      </c>
      <c r="C28" s="305">
        <f t="shared" si="8"/>
        <v>0</v>
      </c>
      <c r="D28" s="348">
        <f>COUNTIFS(PriorResidence,17,LastEpisode,"Y", HouseholdTypePP, "HHNoKids")</f>
        <v>0</v>
      </c>
      <c r="E28" s="305">
        <f t="shared" si="9"/>
        <v>0</v>
      </c>
      <c r="F28" s="348">
        <f>COUNTIFS(PriorResidence,17,LastEpisode,"Y", HouseholdTypePP, "AdultChild")</f>
        <v>0</v>
      </c>
      <c r="G28" s="305" t="str">
        <f t="shared" si="10"/>
        <v/>
      </c>
      <c r="H28" s="348">
        <f>COUNTIFS(PriorResidence,17,LastEpisode,"Y", HouseholdTypePP, "HHKidsOnly")</f>
        <v>0</v>
      </c>
      <c r="I28" s="353">
        <f t="shared" si="11"/>
        <v>0</v>
      </c>
    </row>
    <row r="29" spans="1:9" ht="15" customHeight="1">
      <c r="A29" s="205" t="s">
        <v>436</v>
      </c>
      <c r="B29" s="348">
        <f>COUNTIFS(PriorResidence,"&gt;=8",PriorResidence,"&lt;=9",LastEpisode,"Y")</f>
        <v>1</v>
      </c>
      <c r="C29" s="305">
        <f t="shared" si="8"/>
        <v>6.369426751592357E-3</v>
      </c>
      <c r="D29" s="348">
        <f>COUNTIFS(PriorResidence,"&gt;=8",PriorResidence,"&lt;=9",LastEpisode,"Y", HouseholdTypePP, "HHNoKids")</f>
        <v>1</v>
      </c>
      <c r="E29" s="305">
        <f t="shared" si="9"/>
        <v>1.3698630136986301E-2</v>
      </c>
      <c r="F29" s="348">
        <f>COUNTIFS(PriorResidence,"&gt;=8",PriorResidence,"&lt;=9",LastEpisode,"Y", HouseholdTypePP, "AdultChild")</f>
        <v>0</v>
      </c>
      <c r="G29" s="305" t="str">
        <f t="shared" si="10"/>
        <v/>
      </c>
      <c r="H29" s="348">
        <f>COUNTIFS(PriorResidence,"&gt;=8",PriorResidence,"&lt;=9",LastEpisode,"Y", HouseholdTypePP, "HHKidsOnly")</f>
        <v>0</v>
      </c>
      <c r="I29" s="353">
        <f t="shared" si="11"/>
        <v>0</v>
      </c>
    </row>
    <row r="30" spans="1:9" ht="15" customHeight="1">
      <c r="A30" s="205" t="s">
        <v>437</v>
      </c>
      <c r="B30" s="348">
        <f>COUNTIFS(PriorResidence,"",LastEpisode,"Y")</f>
        <v>0</v>
      </c>
      <c r="C30" s="305">
        <f t="shared" si="8"/>
        <v>0</v>
      </c>
      <c r="D30" s="348">
        <f>COUNTIFS(PriorResidence,"",LastEpisode,"Y", HouseholdTypePP, "HHNoKids")</f>
        <v>0</v>
      </c>
      <c r="E30" s="305">
        <f t="shared" si="9"/>
        <v>0</v>
      </c>
      <c r="F30" s="348">
        <f>COUNTIFS(PriorResidence,"",LastEpisode,"Y", HouseholdTypePP, "AdultChild")</f>
        <v>0</v>
      </c>
      <c r="G30" s="305" t="str">
        <f t="shared" si="10"/>
        <v/>
      </c>
      <c r="H30" s="348">
        <f>COUNTIFS(PriorResidence,"",LastEpisode,"Y", HouseholdTypePP, "HHKidsOnly")</f>
        <v>0</v>
      </c>
      <c r="I30" s="353">
        <f t="shared" si="11"/>
        <v>0</v>
      </c>
    </row>
    <row r="31" spans="1:9" ht="15.75" thickBot="1">
      <c r="A31" s="206"/>
      <c r="B31" s="207">
        <f>SUM(B8:B11,B13:B17,B19:B30)</f>
        <v>157</v>
      </c>
      <c r="C31" s="208">
        <v>1</v>
      </c>
      <c r="D31" s="207">
        <f>SUM(D8:D11,D13:D17,D19:D30)</f>
        <v>73</v>
      </c>
      <c r="E31" s="208">
        <v>1</v>
      </c>
      <c r="F31" s="207">
        <f>SUM(F8:F11,F13:F17,F19:F30)</f>
        <v>0</v>
      </c>
      <c r="G31" s="208">
        <v>1</v>
      </c>
      <c r="H31" s="207">
        <f>SUM(H8:H11,H13:H17,H19:H30)</f>
        <v>58</v>
      </c>
      <c r="I31" s="209">
        <v>1</v>
      </c>
    </row>
    <row r="32" spans="1:9" ht="15.75" thickTop="1">
      <c r="C32" s="275"/>
    </row>
    <row r="33" ht="13.5" customHeight="1"/>
    <row r="34" ht="11.25" customHeight="1"/>
    <row r="35" ht="12" customHeight="1"/>
    <row r="36" ht="15" customHeight="1"/>
    <row r="37" ht="22.5" customHeight="1"/>
    <row r="39" ht="15" customHeight="1"/>
    <row r="40" ht="15" customHeight="1"/>
    <row r="41" ht="15" customHeight="1"/>
    <row r="42" ht="15" customHeight="1"/>
    <row r="43" ht="26.25" customHeight="1"/>
  </sheetData>
  <mergeCells count="12">
    <mergeCell ref="A1:I1"/>
    <mergeCell ref="A2:I2"/>
    <mergeCell ref="A3:I3"/>
    <mergeCell ref="A12:I12"/>
    <mergeCell ref="A18:I18"/>
    <mergeCell ref="A7:I7"/>
    <mergeCell ref="A4:A6"/>
    <mergeCell ref="D4:E5"/>
    <mergeCell ref="F4:I4"/>
    <mergeCell ref="F5:G5"/>
    <mergeCell ref="H5:I5"/>
    <mergeCell ref="B4:C5"/>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sheetPr codeName="Sheet14"/>
  <dimension ref="A1:O37"/>
  <sheetViews>
    <sheetView topLeftCell="A11" workbookViewId="0">
      <selection activeCell="B21" sqref="B21:O28"/>
    </sheetView>
  </sheetViews>
  <sheetFormatPr defaultRowHeight="15"/>
  <cols>
    <col min="1" max="1" width="16.140625" customWidth="1"/>
    <col min="2" max="15" width="5.28515625" customWidth="1"/>
  </cols>
  <sheetData>
    <row r="1" spans="1:15" ht="15.75" customHeight="1" thickTop="1">
      <c r="A1" s="517" t="s">
        <v>599</v>
      </c>
      <c r="B1" s="518"/>
      <c r="C1" s="518"/>
      <c r="D1" s="518"/>
      <c r="E1" s="518"/>
      <c r="F1" s="518"/>
      <c r="G1" s="518"/>
      <c r="H1" s="518"/>
      <c r="I1" s="518"/>
      <c r="J1" s="518"/>
      <c r="K1" s="518"/>
      <c r="L1" s="518"/>
      <c r="M1" s="518"/>
      <c r="N1" s="518"/>
      <c r="O1" s="519"/>
    </row>
    <row r="2" spans="1:15" ht="15" customHeight="1">
      <c r="A2" s="728" t="s">
        <v>15</v>
      </c>
      <c r="B2" s="729"/>
      <c r="C2" s="729"/>
      <c r="D2" s="729"/>
      <c r="E2" s="729"/>
      <c r="F2" s="729"/>
      <c r="G2" s="729"/>
      <c r="H2" s="729"/>
      <c r="I2" s="729"/>
      <c r="J2" s="729"/>
      <c r="K2" s="729"/>
      <c r="L2" s="729"/>
      <c r="M2" s="729"/>
      <c r="N2" s="729"/>
      <c r="O2" s="730"/>
    </row>
    <row r="3" spans="1:15" ht="15.75" customHeight="1" thickBot="1">
      <c r="A3" s="731" t="s">
        <v>600</v>
      </c>
      <c r="B3" s="732"/>
      <c r="C3" s="732"/>
      <c r="D3" s="732"/>
      <c r="E3" s="732"/>
      <c r="F3" s="732"/>
      <c r="G3" s="732"/>
      <c r="H3" s="732"/>
      <c r="I3" s="732"/>
      <c r="J3" s="732"/>
      <c r="K3" s="732"/>
      <c r="L3" s="732"/>
      <c r="M3" s="732"/>
      <c r="N3" s="732"/>
      <c r="O3" s="733"/>
    </row>
    <row r="4" spans="1:15" ht="16.5" customHeight="1">
      <c r="A4" s="717" t="s">
        <v>601</v>
      </c>
      <c r="B4" s="739" t="s">
        <v>438</v>
      </c>
      <c r="C4" s="739"/>
      <c r="D4" s="739"/>
      <c r="E4" s="739" t="s">
        <v>602</v>
      </c>
      <c r="F4" s="739"/>
      <c r="G4" s="739"/>
      <c r="H4" s="739" t="s">
        <v>603</v>
      </c>
      <c r="I4" s="739"/>
      <c r="J4" s="739"/>
      <c r="K4" s="739"/>
      <c r="L4" s="739"/>
      <c r="M4" s="739"/>
      <c r="N4" s="739"/>
      <c r="O4" s="749"/>
    </row>
    <row r="5" spans="1:15" ht="46.5" customHeight="1">
      <c r="A5" s="502"/>
      <c r="B5" s="740"/>
      <c r="C5" s="740"/>
      <c r="D5" s="740"/>
      <c r="E5" s="740"/>
      <c r="F5" s="740"/>
      <c r="G5" s="740"/>
      <c r="H5" s="801" t="s">
        <v>604</v>
      </c>
      <c r="I5" s="801"/>
      <c r="J5" s="801"/>
      <c r="K5" s="801"/>
      <c r="L5" s="801" t="s">
        <v>120</v>
      </c>
      <c r="M5" s="801"/>
      <c r="N5" s="801"/>
      <c r="O5" s="802"/>
    </row>
    <row r="6" spans="1:15" ht="17.25" customHeight="1">
      <c r="A6" s="502"/>
      <c r="B6" s="299" t="s">
        <v>242</v>
      </c>
      <c r="C6" s="791" t="s">
        <v>519</v>
      </c>
      <c r="D6" s="791"/>
      <c r="E6" s="299" t="s">
        <v>242</v>
      </c>
      <c r="F6" s="791" t="s">
        <v>519</v>
      </c>
      <c r="G6" s="791"/>
      <c r="H6" s="740" t="s">
        <v>242</v>
      </c>
      <c r="I6" s="740"/>
      <c r="J6" s="791" t="s">
        <v>519</v>
      </c>
      <c r="K6" s="791"/>
      <c r="L6" s="740" t="s">
        <v>242</v>
      </c>
      <c r="M6" s="740"/>
      <c r="N6" s="791" t="s">
        <v>519</v>
      </c>
      <c r="O6" s="803"/>
    </row>
    <row r="7" spans="1:15" ht="27" customHeight="1">
      <c r="A7" s="302" t="s">
        <v>605</v>
      </c>
      <c r="B7" s="348">
        <f>COUNTIFS(AdultOrChildAtLastEntry, "Adult",[1]Client!$BG:$BG, 1, DuplicateClient, FALSE,LengthOfStay_Total,"&gt;0")</f>
        <v>10</v>
      </c>
      <c r="C7" s="778">
        <f>IF($B$11&lt;&gt;0,(B7/$B$11), "")</f>
        <v>0.1388888888888889</v>
      </c>
      <c r="D7" s="779"/>
      <c r="E7" s="348">
        <f>COUNTIFS(AdultOrChildAtLastEntry, "Adult",[1]Client!$BG:$BG, 1, DuplicateClient, FALSE,LengthOfStay_Total,"&gt;0", HouseholdTypeClient, "HHNoKids")</f>
        <v>10</v>
      </c>
      <c r="F7" s="792">
        <f>IF($E$11&lt;&gt;0, (E7/$E$11), "")</f>
        <v>0.1388888888888889</v>
      </c>
      <c r="G7" s="792"/>
      <c r="H7" s="799">
        <f>COUNTIFS(AdultOrChildAtLastEntry, "Adult",[1]Client!$BG:$BG, 1, DuplicateClient, FALSE,LengthOfStay_Total,"&gt;0", HouseholdTypeClient, "AdultChild")</f>
        <v>0</v>
      </c>
      <c r="I7" s="800"/>
      <c r="J7" s="792" t="str">
        <f>IF($H$11&lt;&gt;0, (H7/$H$11), "")</f>
        <v/>
      </c>
      <c r="K7" s="792"/>
      <c r="L7" s="794"/>
      <c r="M7" s="794"/>
      <c r="N7" s="794"/>
      <c r="O7" s="796"/>
    </row>
    <row r="8" spans="1:15" ht="27" customHeight="1">
      <c r="A8" s="302" t="s">
        <v>606</v>
      </c>
      <c r="B8" s="348">
        <f>COUNTIFS(AdultOrChildAtLastEntry, "Adult",[1]Client!$BG:$BG, 0, DuplicateClient, FALSE,LengthOfStay_Total,"&gt;0")</f>
        <v>62</v>
      </c>
      <c r="C8" s="778">
        <f t="shared" ref="C8:C10" si="0">IF($B$11&lt;&gt;0,(B8/$B$11), "")</f>
        <v>0.86111111111111116</v>
      </c>
      <c r="D8" s="779"/>
      <c r="E8" s="348">
        <f>COUNTIFS(AdultOrChildAtLastEntry, "Adult",[1]Client!$BG:$BG, 0, DuplicateClient, FALSE,LengthOfStay_Total,"&gt;0", HouseholdTypeClient, "HHNoKids")</f>
        <v>62</v>
      </c>
      <c r="F8" s="792">
        <f t="shared" ref="F8:F10" si="1">IF($E$11&lt;&gt;0, (E8/$E$11), "")</f>
        <v>0.86111111111111116</v>
      </c>
      <c r="G8" s="792"/>
      <c r="H8" s="799">
        <f>COUNTIFS(AdultOrChildAtLastEntry, "Adult",[1]Client!$BG:$BG, 0, DuplicateClient, FALSE,LengthOfStay_Total,"&gt;0", HouseholdTypeClient, "AdultChild")</f>
        <v>0</v>
      </c>
      <c r="I8" s="800"/>
      <c r="J8" s="792" t="str">
        <f t="shared" ref="J8:J10" si="2">IF($H$11&lt;&gt;0, (H8/$H$11), "")</f>
        <v/>
      </c>
      <c r="K8" s="792"/>
      <c r="L8" s="794"/>
      <c r="M8" s="794"/>
      <c r="N8" s="794"/>
      <c r="O8" s="796"/>
    </row>
    <row r="9" spans="1:15" ht="27" customHeight="1">
      <c r="A9" s="302" t="s">
        <v>436</v>
      </c>
      <c r="B9" s="348">
        <f>COUNTIFS(AdultOrChildAtLastEntry, "Adult",[1]Client!$BG:$BG, "&gt;=8", [1]Client!$BG:$BG, "&lt;=9",DuplicateClient, FALSE,LengthOfStay_Total,"&gt;0")</f>
        <v>0</v>
      </c>
      <c r="C9" s="778">
        <f t="shared" si="0"/>
        <v>0</v>
      </c>
      <c r="D9" s="779"/>
      <c r="E9" s="348">
        <f>COUNTIFS(AdultOrChildAtLastEntry, "Adult",[1]Client!$BG:$BG, "&gt;=8", [1]Client!$BG:$BG, "&lt;=9",DuplicateClient, FALSE,LengthOfStay_Total,"&gt;0", HouseholdTypeClient, "HHNoKids")</f>
        <v>0</v>
      </c>
      <c r="F9" s="792">
        <f t="shared" si="1"/>
        <v>0</v>
      </c>
      <c r="G9" s="792"/>
      <c r="H9" s="799">
        <f>COUNTIFS(AdultOrChildAtLastEntry, "Adult",[1]Client!$BG:$BG, "&gt;=8", [1]Client!$BG:$BG, "&lt;=9",DuplicateClient, FALSE,LengthOfStay_Total,"&gt;0", HouseholdTypeClient, "AdultChild")</f>
        <v>0</v>
      </c>
      <c r="I9" s="800"/>
      <c r="J9" s="792" t="str">
        <f t="shared" si="2"/>
        <v/>
      </c>
      <c r="K9" s="792"/>
      <c r="L9" s="794"/>
      <c r="M9" s="794"/>
      <c r="N9" s="794"/>
      <c r="O9" s="796"/>
    </row>
    <row r="10" spans="1:15" ht="27" customHeight="1">
      <c r="A10" s="302" t="s">
        <v>437</v>
      </c>
      <c r="B10" s="348">
        <f>COUNTIFS(AdultOrChildAtLastEntry, "Adult",[1]Client!$BG:$BG, "",DuplicateClient, FALSE,LengthOfStay_Total,"&gt;0")</f>
        <v>0</v>
      </c>
      <c r="C10" s="778">
        <f t="shared" si="0"/>
        <v>0</v>
      </c>
      <c r="D10" s="779"/>
      <c r="E10" s="348">
        <f>COUNTIFS(AdultOrChildAtLastEntry, "Adult",[1]Client!$BG:$BG, "",DuplicateClient, FALSE,LengthOfStay_Total,"&gt;0", HouseholdTypeClient, "HHNoKids")</f>
        <v>0</v>
      </c>
      <c r="F10" s="792">
        <f t="shared" si="1"/>
        <v>0</v>
      </c>
      <c r="G10" s="792"/>
      <c r="H10" s="799">
        <f>COUNTIFS(AdultOrChildAtLastEntry, "Adult",[1]Client!$BG:$BG, "",DuplicateClient, FALSE,LengthOfStay_Total,"&gt;0", HouseholdTypeClient, "AdultChild")</f>
        <v>0</v>
      </c>
      <c r="I10" s="800"/>
      <c r="J10" s="792" t="str">
        <f t="shared" si="2"/>
        <v/>
      </c>
      <c r="K10" s="792"/>
      <c r="L10" s="794"/>
      <c r="M10" s="794"/>
      <c r="N10" s="794"/>
      <c r="O10" s="796"/>
    </row>
    <row r="11" spans="1:15" ht="39.75" customHeight="1" thickBot="1">
      <c r="A11" s="211" t="s">
        <v>438</v>
      </c>
      <c r="B11" s="342">
        <f>SUM(B7:B10)</f>
        <v>72</v>
      </c>
      <c r="C11" s="780">
        <v>1</v>
      </c>
      <c r="D11" s="781"/>
      <c r="E11" s="342">
        <f>SUM(E7:E10)</f>
        <v>72</v>
      </c>
      <c r="F11" s="793">
        <v>1</v>
      </c>
      <c r="G11" s="793"/>
      <c r="H11" s="798">
        <f>SUM(H7:I10)</f>
        <v>0</v>
      </c>
      <c r="I11" s="798"/>
      <c r="J11" s="793">
        <v>1</v>
      </c>
      <c r="K11" s="793"/>
      <c r="L11" s="795"/>
      <c r="M11" s="795"/>
      <c r="N11" s="795"/>
      <c r="O11" s="797"/>
    </row>
    <row r="12" spans="1:15" ht="16.5" thickTop="1" thickBot="1">
      <c r="A12" s="790"/>
      <c r="B12" s="790"/>
      <c r="C12" s="790"/>
      <c r="D12" s="790"/>
      <c r="E12" s="790"/>
      <c r="F12" s="790"/>
      <c r="G12" s="790"/>
      <c r="H12" s="790"/>
      <c r="I12" s="790"/>
      <c r="J12" s="790"/>
      <c r="K12" s="790"/>
      <c r="L12" s="790"/>
      <c r="M12" s="790"/>
      <c r="N12" s="790"/>
      <c r="O12" s="790"/>
    </row>
    <row r="13" spans="1:15" ht="14.25" customHeight="1" thickTop="1">
      <c r="A13" s="517" t="s">
        <v>607</v>
      </c>
      <c r="B13" s="518"/>
      <c r="C13" s="518"/>
      <c r="D13" s="518"/>
      <c r="E13" s="518"/>
      <c r="F13" s="518"/>
      <c r="G13" s="518"/>
      <c r="H13" s="518"/>
      <c r="I13" s="518"/>
      <c r="J13" s="518"/>
      <c r="K13" s="518"/>
      <c r="L13" s="518"/>
      <c r="M13" s="518"/>
      <c r="N13" s="518"/>
      <c r="O13" s="519"/>
    </row>
    <row r="14" spans="1:15" ht="12.75" customHeight="1">
      <c r="A14" s="728" t="s">
        <v>139</v>
      </c>
      <c r="B14" s="729"/>
      <c r="C14" s="729"/>
      <c r="D14" s="729"/>
      <c r="E14" s="729"/>
      <c r="F14" s="729"/>
      <c r="G14" s="729"/>
      <c r="H14" s="729"/>
      <c r="I14" s="729"/>
      <c r="J14" s="729"/>
      <c r="K14" s="729"/>
      <c r="L14" s="729"/>
      <c r="M14" s="729"/>
      <c r="N14" s="729"/>
      <c r="O14" s="730"/>
    </row>
    <row r="15" spans="1:15" ht="16.5" customHeight="1" thickBot="1">
      <c r="A15" s="731" t="s">
        <v>221</v>
      </c>
      <c r="B15" s="732"/>
      <c r="C15" s="732"/>
      <c r="D15" s="732"/>
      <c r="E15" s="732"/>
      <c r="F15" s="732"/>
      <c r="G15" s="732"/>
      <c r="H15" s="732"/>
      <c r="I15" s="732"/>
      <c r="J15" s="732"/>
      <c r="K15" s="732"/>
      <c r="L15" s="732"/>
      <c r="M15" s="732"/>
      <c r="N15" s="732"/>
      <c r="O15" s="733"/>
    </row>
    <row r="16" spans="1:15" ht="16.5" customHeight="1">
      <c r="A16" s="785" t="s">
        <v>514</v>
      </c>
      <c r="B16" s="739" t="s">
        <v>517</v>
      </c>
      <c r="C16" s="739"/>
      <c r="D16" s="739" t="s">
        <v>1140</v>
      </c>
      <c r="E16" s="739"/>
      <c r="F16" s="739"/>
      <c r="G16" s="739"/>
      <c r="H16" s="739"/>
      <c r="I16" s="739"/>
      <c r="J16" s="739" t="s">
        <v>1141</v>
      </c>
      <c r="K16" s="739"/>
      <c r="L16" s="739"/>
      <c r="M16" s="739"/>
      <c r="N16" s="739"/>
      <c r="O16" s="749"/>
    </row>
    <row r="17" spans="1:15" ht="15" customHeight="1">
      <c r="A17" s="786"/>
      <c r="B17" s="740"/>
      <c r="C17" s="740"/>
      <c r="D17" s="740" t="s">
        <v>122</v>
      </c>
      <c r="E17" s="740"/>
      <c r="F17" s="740" t="s">
        <v>518</v>
      </c>
      <c r="G17" s="740"/>
      <c r="H17" s="740" t="s">
        <v>1142</v>
      </c>
      <c r="I17" s="740"/>
      <c r="J17" s="740" t="s">
        <v>122</v>
      </c>
      <c r="K17" s="740"/>
      <c r="L17" s="740" t="s">
        <v>518</v>
      </c>
      <c r="M17" s="740"/>
      <c r="N17" s="740" t="s">
        <v>1142</v>
      </c>
      <c r="O17" s="761"/>
    </row>
    <row r="18" spans="1:15" ht="15.75" customHeight="1">
      <c r="A18" s="786"/>
      <c r="B18" s="740"/>
      <c r="C18" s="740"/>
      <c r="D18" s="740"/>
      <c r="E18" s="740"/>
      <c r="F18" s="740"/>
      <c r="G18" s="740"/>
      <c r="H18" s="740"/>
      <c r="I18" s="740"/>
      <c r="J18" s="740"/>
      <c r="K18" s="740"/>
      <c r="L18" s="740"/>
      <c r="M18" s="740"/>
      <c r="N18" s="740"/>
      <c r="O18" s="761"/>
    </row>
    <row r="19" spans="1:15">
      <c r="A19" s="786"/>
      <c r="B19" s="331" t="s">
        <v>242</v>
      </c>
      <c r="C19" s="238" t="s">
        <v>519</v>
      </c>
      <c r="D19" s="331" t="s">
        <v>242</v>
      </c>
      <c r="E19" s="238" t="s">
        <v>519</v>
      </c>
      <c r="F19" s="298" t="s">
        <v>242</v>
      </c>
      <c r="G19" s="238" t="s">
        <v>519</v>
      </c>
      <c r="H19" s="298" t="s">
        <v>242</v>
      </c>
      <c r="I19" s="239" t="s">
        <v>519</v>
      </c>
      <c r="J19" s="298" t="s">
        <v>242</v>
      </c>
      <c r="K19" s="298" t="s">
        <v>519</v>
      </c>
      <c r="L19" s="298" t="s">
        <v>242</v>
      </c>
      <c r="M19" s="239" t="s">
        <v>519</v>
      </c>
      <c r="N19" s="241" t="s">
        <v>242</v>
      </c>
      <c r="O19" s="236" t="s">
        <v>519</v>
      </c>
    </row>
    <row r="20" spans="1:15" ht="16.5" customHeight="1">
      <c r="A20" s="782" t="s">
        <v>608</v>
      </c>
      <c r="B20" s="783"/>
      <c r="C20" s="783"/>
      <c r="D20" s="783"/>
      <c r="E20" s="783"/>
      <c r="F20" s="783"/>
      <c r="G20" s="783"/>
      <c r="H20" s="783"/>
      <c r="I20" s="783"/>
      <c r="J20" s="783"/>
      <c r="K20" s="783"/>
      <c r="L20" s="783"/>
      <c r="M20" s="783"/>
      <c r="N20" s="783"/>
      <c r="O20" s="784"/>
    </row>
    <row r="21" spans="1:15" ht="14.1" customHeight="1">
      <c r="A21" s="212" t="s">
        <v>521</v>
      </c>
      <c r="B21" s="348">
        <f>COUNTIFS([1]ClientHistorical!$BI:$BI,"Y",[1]ClientHistorical!$BL:$BL,0)</f>
        <v>0</v>
      </c>
      <c r="C21" s="310" t="str">
        <f>IF($B$28&lt;&gt;0, (B21/$B$28), "")</f>
        <v/>
      </c>
      <c r="D21" s="348">
        <f>COUNTIFS([1]ClientHistorical!$BI:$BI,"Y",[1]ClientHistorical!$BL:$BL,0,[1]ClientHistorical!$BE:$BE,"A",[1]ClientHistorical!$BM:$BM,"L")</f>
        <v>0</v>
      </c>
      <c r="E21" s="310" t="str">
        <f>IF($D$28&lt;&gt;0, (D21/$D$28), "")</f>
        <v/>
      </c>
      <c r="F21" s="348">
        <f>COUNTIFS([1]ClientHistorical!$BI:$BI,"Y",[1]ClientHistorical!$BL:$BL,0,[1]ClientHistorical!$BE:$BE,"C",[1]ClientHistorical!$BM:$BM,"L")</f>
        <v>0</v>
      </c>
      <c r="G21" s="310" t="e">
        <f>IF($F$28&lt;&gt;0, (F21/$F$28), "")</f>
        <v>#VALUE!</v>
      </c>
      <c r="H21" s="348">
        <f>COUNTIFS([1]ClientHistorical!$BI:$BI,"Y",[1]ClientHistorical!$BL:$BL,0,[1]ClientHistorical!$BE:$BE,"U",[1]ClientHistorical!$BM:$BM,"L")</f>
        <v>0</v>
      </c>
      <c r="I21" s="310" t="str">
        <f>IF($H$28&lt;&gt;0, (H21/$H$28), "")</f>
        <v/>
      </c>
      <c r="J21" s="348">
        <f>COUNTIFS([1]ClientHistorical!$BI:$BI,"Y",[1]ClientHistorical!$BL:$BL,0,[1]ClientHistorical!$BE:$BE,"A",[1]ClientHistorical!$BM:$BM,"S")</f>
        <v>0</v>
      </c>
      <c r="K21" s="310" t="str">
        <f>IF($J$28&lt;&gt;0, (J21/$J$28), "")</f>
        <v/>
      </c>
      <c r="L21" s="348">
        <f>COUNTIFS([1]ClientHistorical!$BI:$BI,"Y",[1]ClientHistorical!$BL:$BL,0,[1]ClientHistorical!$BE:$BE,"C",[1]ClientHistorical!$BM:$BM,"S")</f>
        <v>0</v>
      </c>
      <c r="M21" s="310" t="str">
        <f>IF($L$28&lt;&gt;0, (L21/$L$28), "")</f>
        <v/>
      </c>
      <c r="N21" s="348">
        <f>COUNTIFS([1]ClientHistorical!$BI:$BI,"Y",[1]ClientHistorical!$BL:$BL,0,[1]ClientHistorical!$BE:$BE,"U",[1]ClientHistorical!$BM:$BM,"S")</f>
        <v>0</v>
      </c>
      <c r="O21" s="365" t="str">
        <f>IF($N$28&lt;&gt;0, (N21/$N$28), "")</f>
        <v/>
      </c>
    </row>
    <row r="22" spans="1:15" ht="14.1" customHeight="1">
      <c r="A22" s="212" t="s">
        <v>522</v>
      </c>
      <c r="B22" s="348">
        <f>COUNTIFS([1]ClientHistorical!$BI:$BI,"Y",[1]ClientHistorical!$BL:$BL,1)</f>
        <v>0</v>
      </c>
      <c r="C22" s="310" t="str">
        <f t="shared" ref="C22:C27" si="3">IF($B$28&lt;&gt;0, (B22/$B$28), "")</f>
        <v/>
      </c>
      <c r="D22" s="348">
        <f>COUNTIFS([1]ClientHistorical!$BI:$BI,"Y",[1]ClientHistorical!$BL:$BL,1,[1]ClientHistorical!$BE:$BE,"A",[1]ClientHistorical!$BM:$BM,"L")</f>
        <v>0</v>
      </c>
      <c r="E22" s="310" t="str">
        <f t="shared" ref="E22:E27" si="4">IF($D$28&lt;&gt;0, (D22/$D$28), "")</f>
        <v/>
      </c>
      <c r="F22" s="348">
        <f>COUNTIFS([1]ClientHistorical!$BI:$BI,"Y",[1]ClientHistorical!$BL:$BL,1,[1]ClientHistorical!$BE:$BE,"C",[1]ClientHistorical!$BM:$BM,"L")</f>
        <v>0</v>
      </c>
      <c r="G22" s="310" t="e">
        <f t="shared" ref="G22:G27" si="5">IF($F$28&lt;&gt;0, (F22/$F$28), "")</f>
        <v>#VALUE!</v>
      </c>
      <c r="H22" s="348">
        <f>COUNTIFS([1]ClientHistorical!$BI:$BI,"Y",[1]ClientHistorical!$BL:$BL,1,[1]ClientHistorical!$BE:$BE,"U",[1]ClientHistorical!$BM:$BM,"L")</f>
        <v>0</v>
      </c>
      <c r="I22" s="310" t="str">
        <f t="shared" ref="I22:I27" si="6">IF($H$28&lt;&gt;0, (H22/$H$28), "")</f>
        <v/>
      </c>
      <c r="J22" s="348">
        <f>COUNTIFS([1]ClientHistorical!$BI:$BI,"Y",[1]ClientHistorical!$BL:$BL,1,[1]ClientHistorical!$BE:$BE,"A",[1]ClientHistorical!$BM:$BM,"S")</f>
        <v>0</v>
      </c>
      <c r="K22" s="310" t="str">
        <f t="shared" ref="K22:K27" si="7">IF($J$28&lt;&gt;0, (J22/$J$28), "")</f>
        <v/>
      </c>
      <c r="L22" s="348">
        <f>COUNTIFS([1]ClientHistorical!$BI:$BI,"Y",[1]ClientHistorical!$BL:$BL,1,[1]ClientHistorical!$BE:$BE,"C",[1]ClientHistorical!$BM:$BM,"S")</f>
        <v>0</v>
      </c>
      <c r="M22" s="310" t="str">
        <f t="shared" ref="M22:M27" si="8">IF($L$28&lt;&gt;0, (L22/$L$28), "")</f>
        <v/>
      </c>
      <c r="N22" s="348">
        <f>COUNTIFS([1]ClientHistorical!$BI:$BI,"Y",[1]ClientHistorical!$BL:$BL,1,[1]ClientHistorical!$BE:$BE,"U",[1]ClientHistorical!$BM:$BM,"S")</f>
        <v>0</v>
      </c>
      <c r="O22" s="365" t="str">
        <f t="shared" ref="O22:O27" si="9">IF($N$28&lt;&gt;0, (N22/$N$28), "")</f>
        <v/>
      </c>
    </row>
    <row r="23" spans="1:15" ht="23.25" customHeight="1">
      <c r="A23" s="212" t="s">
        <v>617</v>
      </c>
      <c r="B23" s="348">
        <f>COUNTIFS([1]ClientHistorical!$BI:$BI,"Y",[1]ClientHistorical!$BL:$BL,2)</f>
        <v>0</v>
      </c>
      <c r="C23" s="310" t="str">
        <f t="shared" si="3"/>
        <v/>
      </c>
      <c r="D23" s="348">
        <f>COUNTIFS([1]ClientHistorical!$BI:$BI,"Y",[1]ClientHistorical!$BL:$BL,2,[1]ClientHistorical!$BE:$BE,"A",[1]ClientHistorical!$BM:$BM,"L")</f>
        <v>0</v>
      </c>
      <c r="E23" s="310" t="str">
        <f t="shared" si="4"/>
        <v/>
      </c>
      <c r="F23" s="348">
        <f>COUNTIFS([1]ClientHistorical!$BI:$BI,"Y",[1]ClientHistorical!$BL:$BL,2,[1]ClientHistorical!$BE:$BE,"C",[1]ClientHistorical!$BM:$BM,"L")</f>
        <v>0</v>
      </c>
      <c r="G23" s="310" t="e">
        <f t="shared" si="5"/>
        <v>#VALUE!</v>
      </c>
      <c r="H23" s="348">
        <f>COUNTIFS([1]ClientHistorical!$BI:$BI,"Y",[1]ClientHistorical!$BL:$BL,2,[1]ClientHistorical!$BE:$BE,"U",[1]ClientHistorical!$BM:$BM,"L")</f>
        <v>0</v>
      </c>
      <c r="I23" s="310" t="str">
        <f t="shared" si="6"/>
        <v/>
      </c>
      <c r="J23" s="348">
        <f>COUNTIFS([1]ClientHistorical!$BI:$BI,"Y",[1]ClientHistorical!$BL:$BL,2,[1]ClientHistorical!$BE:$BE,"A",[1]ClientHistorical!$BM:$BM,"S")</f>
        <v>0</v>
      </c>
      <c r="K23" s="310" t="str">
        <f t="shared" si="7"/>
        <v/>
      </c>
      <c r="L23" s="348">
        <f>COUNTIFS([1]ClientHistorical!$BI:$BI,"Y",[1]ClientHistorical!$BL:$BL,2,[1]ClientHistorical!$BE:$BE,"C",[1]ClientHistorical!$BM:$BM,"S")</f>
        <v>0</v>
      </c>
      <c r="M23" s="310" t="str">
        <f t="shared" si="8"/>
        <v/>
      </c>
      <c r="N23" s="348">
        <f>COUNTIFS([1]ClientHistorical!$BI:$BI,"Y",[1]ClientHistorical!$BL:$BL,2,[1]ClientHistorical!$BE:$BE,"U",[1]ClientHistorical!$BM:$BM,"S")</f>
        <v>0</v>
      </c>
      <c r="O23" s="365" t="str">
        <f t="shared" si="9"/>
        <v/>
      </c>
    </row>
    <row r="24" spans="1:15" ht="24.75" customHeight="1">
      <c r="A24" s="212" t="s">
        <v>524</v>
      </c>
      <c r="B24" s="348">
        <f>COUNTIFS([1]ClientHistorical!$BI:$BI,"Y",[1]ClientHistorical!$BL:$BL,"&gt;=3")</f>
        <v>0</v>
      </c>
      <c r="C24" s="310" t="str">
        <f t="shared" si="3"/>
        <v/>
      </c>
      <c r="D24" s="348">
        <f>COUNTIFS([1]ClientHistorical!$BI:$BI,"Y",[1]ClientHistorical!$BL:$BL,"&gt;=3",[1]ClientHistorical!$BE:$BE,"A",[1]ClientHistorical!$BM:$BM,"L")</f>
        <v>0</v>
      </c>
      <c r="E24" s="310" t="str">
        <f t="shared" si="4"/>
        <v/>
      </c>
      <c r="F24" s="348">
        <f>COUNTIFS([1]ClientHistorical!$BI:$BI,"Y",[1]ClientHistorical!$BL:$BL,"&gt;=3",[1]ClientHistorical!$BE:$BE,"C",[1]ClientHistorical!$BM:$BM,"L")</f>
        <v>0</v>
      </c>
      <c r="G24" s="310" t="e">
        <f t="shared" si="5"/>
        <v>#VALUE!</v>
      </c>
      <c r="H24" s="348">
        <f>COUNTIFS([1]ClientHistorical!$BI:$BI,"Y",[1]ClientHistorical!$BL:$BL,"&gt;=3",[1]ClientHistorical!$BE:$BE,"U",[1]ClientHistorical!$BM:$BM,"L")</f>
        <v>0</v>
      </c>
      <c r="I24" s="310" t="str">
        <f t="shared" si="6"/>
        <v/>
      </c>
      <c r="J24" s="348">
        <f>COUNTIFS([1]ClientHistorical!$BI:$BI,"Y",[1]ClientHistorical!$BL:$BL,"&gt;=3",[1]ClientHistorical!$BE:$BE,"A",[1]ClientHistorical!$BM:$BM,"S")</f>
        <v>0</v>
      </c>
      <c r="K24" s="310" t="str">
        <f t="shared" si="7"/>
        <v/>
      </c>
      <c r="L24" s="348">
        <f>COUNTIFS([1]ClientHistorical!$BI:$BI,"Y",[1]ClientHistorical!$BL:$BL,"&gt;=3",[1]ClientHistorical!$BE:$BE,"C",[1]ClientHistorical!$BM:$BM,"S")</f>
        <v>0</v>
      </c>
      <c r="M24" s="310" t="str">
        <f t="shared" si="8"/>
        <v/>
      </c>
      <c r="N24" s="348">
        <f>COUNTIFS([1]ClientHistorical!$BI:$BI,"Y",[1]ClientHistorical!$BL:$BL,"&gt;=3",[1]ClientHistorical!$BE:$BE,"U",[1]ClientHistorical!$BM:$BM,"S")</f>
        <v>0</v>
      </c>
      <c r="O24" s="365" t="str">
        <f t="shared" si="9"/>
        <v/>
      </c>
    </row>
    <row r="25" spans="1:15" ht="14.1" customHeight="1">
      <c r="A25" s="212" t="s">
        <v>525</v>
      </c>
      <c r="B25" s="348">
        <f>COUNTIFS([1]ClientHistorical!$BI:$BI,"Y",[1]ClientHistorical!$BK:$BK,"Unknown")</f>
        <v>0</v>
      </c>
      <c r="C25" s="310" t="str">
        <f t="shared" si="3"/>
        <v/>
      </c>
      <c r="D25" s="348">
        <f>COUNTIFS([1]ClientHistorical!$BI:$BI,"Y",[1]ClientHistorical!$BK:$BK,"Unknown",[1]ClientHistorical!$BE:$BE,"A",[1]ClientHistorical!$BM:$BM,"L")</f>
        <v>0</v>
      </c>
      <c r="E25" s="310" t="str">
        <f t="shared" si="4"/>
        <v/>
      </c>
      <c r="F25" s="348">
        <f>COUNTIFS([1]ClientHistorical!$BI:$BI,"Y",[1]ClientHistorical!$BK:$BK,"Unknown",[1]ClientHistorical!$BE:$BE,"C",[1]ClientHistorical!$BM:$BM,"L")</f>
        <v>0</v>
      </c>
      <c r="G25" s="310" t="e">
        <f t="shared" si="5"/>
        <v>#VALUE!</v>
      </c>
      <c r="H25" s="348">
        <f>COUNTIFS([1]ClientHistorical!$BI:$BI,"Y",[1]ClientHistorical!$BK:$BK,"Unknown",[1]ClientHistorical!$BE:$BE,"U",[1]ClientHistorical!$BM:$BM,"L")</f>
        <v>0</v>
      </c>
      <c r="I25" s="310" t="str">
        <f t="shared" si="6"/>
        <v/>
      </c>
      <c r="J25" s="348">
        <f>COUNTIFS([1]ClientHistorical!$BI:$BI,"Y",[1]ClientHistorical!$BK:$BK,"Unknown",[1]ClientHistorical!$BE:$BE,"A",[1]ClientHistorical!$BM:$BM,"S")</f>
        <v>0</v>
      </c>
      <c r="K25" s="310" t="str">
        <f t="shared" si="7"/>
        <v/>
      </c>
      <c r="L25" s="348">
        <f>COUNTIFS([1]ClientHistorical!$BI:$BI,"Y",[1]ClientHistorical!$BK:$BK,"Unknown",[1]ClientHistorical!$BE:$BE,"C",[1]ClientHistorical!$BM:$BM,"S")</f>
        <v>0</v>
      </c>
      <c r="M25" s="310" t="str">
        <f t="shared" si="8"/>
        <v/>
      </c>
      <c r="N25" s="348">
        <f>COUNTIFS([1]ClientHistorical!$BI:$BI,"Y",[1]ClientHistorical!$BK:$BK,"Unknown",[1]ClientHistorical!$BE:$BE,"U",[1]ClientHistorical!$BM:$BM,"S")</f>
        <v>0</v>
      </c>
      <c r="O25" s="365" t="str">
        <f t="shared" si="9"/>
        <v/>
      </c>
    </row>
    <row r="26" spans="1:15" ht="14.1" customHeight="1">
      <c r="A26" s="212" t="s">
        <v>436</v>
      </c>
      <c r="B26" s="348">
        <f>COUNTIFS([1]ClientHistorical!$BI:$BI,"Y",[1]ClientHistorical!$BK:$BK,"DontKnow")</f>
        <v>0</v>
      </c>
      <c r="C26" s="310" t="str">
        <f t="shared" si="3"/>
        <v/>
      </c>
      <c r="D26" s="348">
        <f>COUNTIFS([1]ClientHistorical!$BI:$BI,"Y",[1]ClientHistorical!$BK:$BK,"DontKnow",[1]ClientHistorical!$BE:$BE,"A",[1]ClientHistorical!$BM:$BM,"L")</f>
        <v>0</v>
      </c>
      <c r="E26" s="310" t="str">
        <f t="shared" si="4"/>
        <v/>
      </c>
      <c r="F26" s="348">
        <f>COUNTIFS([1]ClientHistorical!$BI:$BI,"Y",[1]ClientHistorical!$BK:$BK,"DontKnow",[1]ClientHistorical!$BE:$BE,"C",[1]ClientHistorical!$BM:$BM,"L")</f>
        <v>0</v>
      </c>
      <c r="G26" s="310" t="e">
        <f t="shared" si="5"/>
        <v>#VALUE!</v>
      </c>
      <c r="H26" s="348">
        <f>COUNTIFS([1]ClientHistorical!$BI:$BI,"Y",[1]ClientHistorical!$BK:$BK,"DontKnow",[1]ClientHistorical!$BE:$BE,"U",[1]ClientHistorical!$BM:$BM,"L")</f>
        <v>0</v>
      </c>
      <c r="I26" s="310" t="str">
        <f t="shared" si="6"/>
        <v/>
      </c>
      <c r="J26" s="348">
        <f>COUNTIFS([1]ClientHistorical!$BI:$BI,"Y",[1]ClientHistorical!$BK:$BK,"DontKnow",[1]ClientHistorical!$BE:$BE,"A",[1]ClientHistorical!$BM:$BM,"S")</f>
        <v>0</v>
      </c>
      <c r="K26" s="310" t="str">
        <f t="shared" si="7"/>
        <v/>
      </c>
      <c r="L26" s="348">
        <f>COUNTIFS([1]ClientHistorical!$BI:$BI,"Y",[1]ClientHistorical!$BK:$BK,"DontKnow",[1]ClientHistorical!$BE:$BE,"C",[1]ClientHistorical!$BM:$BM,"S")</f>
        <v>0</v>
      </c>
      <c r="M26" s="310" t="str">
        <f t="shared" si="8"/>
        <v/>
      </c>
      <c r="N26" s="348">
        <f>COUNTIFS([1]ClientHistorical!$BI:$BI,"Y",[1]ClientHistorical!$BK:$BK,"DontKnow",[1]ClientHistorical!$BE:$BE,"U",[1]ClientHistorical!$BM:$BM,"S")</f>
        <v>0</v>
      </c>
      <c r="O26" s="365" t="str">
        <f t="shared" si="9"/>
        <v/>
      </c>
    </row>
    <row r="27" spans="1:15" ht="23.25" customHeight="1">
      <c r="A27" s="212" t="s">
        <v>437</v>
      </c>
      <c r="B27" s="348">
        <f>COUNTIFS([1]ClientHistorical!$BI:$BI,"Y",[1]ClientHistorical!$BK:$BK,"Missing")</f>
        <v>0</v>
      </c>
      <c r="C27" s="310" t="str">
        <f t="shared" si="3"/>
        <v/>
      </c>
      <c r="D27" s="348">
        <f>COUNTIFS([1]ClientHistorical!$BI:$BI,"Y",[1]ClientHistorical!$BK:$BK,"Missing",[1]ClientHistorical!$BE:$BE,"A",[1]ClientHistorical!$BM:$BM,"L")</f>
        <v>0</v>
      </c>
      <c r="E27" s="310" t="str">
        <f t="shared" si="4"/>
        <v/>
      </c>
      <c r="F27" s="348">
        <f>COUNTIFS([1]ClientHistorical!$BI:$BI,"Y",[1]ClientHistorical!$BK:$BK,"Missing",[1]ClientHistorical!$BE:$BE,"C",[1]ClientHistorical!$BM:$BM,"L")</f>
        <v>0</v>
      </c>
      <c r="G27" s="310" t="e">
        <f t="shared" si="5"/>
        <v>#VALUE!</v>
      </c>
      <c r="H27" s="348">
        <f>COUNTIFS([1]ClientHistorical!$BI:$BI,"Y",[1]ClientHistorical!$BK:$BK,"Missing",[1]ClientHistorical!$BE:$BE,"U",[1]ClientHistorical!$BM:$BM,"L")</f>
        <v>0</v>
      </c>
      <c r="I27" s="310" t="str">
        <f t="shared" si="6"/>
        <v/>
      </c>
      <c r="J27" s="348">
        <f>COUNTIFS([1]ClientHistorical!$BI:$BI,"Y",[1]ClientHistorical!$BK:$BK,"Missing",[1]ClientHistorical!$BE:$BE,"A",[1]ClientHistorical!$BM:$BM,"S")</f>
        <v>0</v>
      </c>
      <c r="K27" s="310" t="str">
        <f t="shared" si="7"/>
        <v/>
      </c>
      <c r="L27" s="348">
        <f>COUNTIFS([1]ClientHistorical!$BI:$BI,"Y",[1]ClientHistorical!$BK:$BK,"Missing",[1]ClientHistorical!$BE:$BE,"C",[1]ClientHistorical!$BM:$BM,"S")</f>
        <v>0</v>
      </c>
      <c r="M27" s="310" t="str">
        <f t="shared" si="8"/>
        <v/>
      </c>
      <c r="N27" s="348">
        <f>COUNTIFS([1]ClientHistorical!$BI:$BI,"Y",[1]ClientHistorical!$BK:$BK,"Missing",[1]ClientHistorical!$BE:$BE,"U",[1]ClientHistorical!$BM:$BM,"S")</f>
        <v>0</v>
      </c>
      <c r="O27" s="365" t="str">
        <f t="shared" si="9"/>
        <v/>
      </c>
    </row>
    <row r="28" spans="1:15" ht="24" customHeight="1">
      <c r="A28" s="213" t="s">
        <v>116</v>
      </c>
      <c r="B28" s="195">
        <f>SUM(B21:B27)</f>
        <v>0</v>
      </c>
      <c r="C28" s="372">
        <v>1</v>
      </c>
      <c r="D28" s="195">
        <f>SUM(D21:D27)</f>
        <v>0</v>
      </c>
      <c r="E28" s="372">
        <v>1</v>
      </c>
      <c r="F28" s="195" t="e">
        <f>SUM(F21:F27,[1]ClientHistorical!$BM:$BM,"L")</f>
        <v>#VALUE!</v>
      </c>
      <c r="G28" s="372">
        <v>1</v>
      </c>
      <c r="H28" s="195">
        <f>SUM(H21:H27)</f>
        <v>0</v>
      </c>
      <c r="I28" s="372">
        <v>1</v>
      </c>
      <c r="J28" s="372"/>
      <c r="K28" s="372">
        <v>1</v>
      </c>
      <c r="L28" s="372"/>
      <c r="M28" s="372">
        <v>1</v>
      </c>
      <c r="N28" s="372"/>
      <c r="O28" s="373">
        <v>1</v>
      </c>
    </row>
    <row r="29" spans="1:15" ht="15.75" customHeight="1">
      <c r="A29" s="787" t="s">
        <v>612</v>
      </c>
      <c r="B29" s="788"/>
      <c r="C29" s="788"/>
      <c r="D29" s="788"/>
      <c r="E29" s="788"/>
      <c r="F29" s="788"/>
      <c r="G29" s="788"/>
      <c r="H29" s="788"/>
      <c r="I29" s="788"/>
      <c r="J29" s="788"/>
      <c r="K29" s="788"/>
      <c r="L29" s="788"/>
      <c r="M29" s="788"/>
      <c r="N29" s="788"/>
      <c r="O29" s="789"/>
    </row>
    <row r="30" spans="1:15" ht="15" customHeight="1">
      <c r="A30" s="212" t="s">
        <v>534</v>
      </c>
      <c r="B30" s="304">
        <f>COUNTIFS([1]ClientHistorical!$BI:$BI,"Y",[1]ClientHistorical!$R:$R,1)</f>
        <v>41</v>
      </c>
      <c r="C30" s="309" t="str">
        <f t="shared" ref="C30:C36" si="10">IF($B$28&lt;&gt;0, (B30/$B$28), "")</f>
        <v/>
      </c>
      <c r="D30" s="304">
        <f>COUNTIFS([1]ClientHistorical!$BI:$BI,"Y",[1]ClientHistorical!$R:$R,1,[1]ClientHistorical!$BE:$BE,"A",[1]ClientHistorical!$BM:$BM,"L")</f>
        <v>0</v>
      </c>
      <c r="E30" s="310" t="str">
        <f t="shared" ref="E30:E36" si="11">IF($D$28&lt;&gt;0, (D30/$D$28), "")</f>
        <v/>
      </c>
      <c r="F30" s="304">
        <f>COUNTIFS([1]ClientHistorical!$BI:$BI,"Y",[1]ClientHistorical!$R:$R,1,[1]ClientHistorical!$BE:$BE,"C",[1]ClientHistorical!$BM:$BM,"L")</f>
        <v>0</v>
      </c>
      <c r="G30" s="303" t="e">
        <f t="shared" ref="G30:G36" si="12">IF($F$28&lt;&gt;0, (F30/$F$28), "")</f>
        <v>#VALUE!</v>
      </c>
      <c r="H30" s="304">
        <f>COUNTIFS([1]ClientHistorical!$BI:$BI,"Y",[1]ClientHistorical!$R:$R,1,[1]ClientHistorical!$BE:$BE,"U",[1]ClientHistorical!$BM:$BM,"L")</f>
        <v>0</v>
      </c>
      <c r="I30" s="309" t="str">
        <f t="shared" ref="I30:I36" si="13">IF($H$28&lt;&gt;0, (H30/$H$28), "")</f>
        <v/>
      </c>
      <c r="J30" s="304">
        <f>COUNTIFS([1]ClientHistorical!$BI:$BI,"Y",[1]ClientHistorical!$R:$R,1,[1]ClientHistorical!$BE:$BE,"A",[1]ClientHistorical!$BM:$BM,"S")</f>
        <v>0</v>
      </c>
      <c r="K30" s="309" t="str">
        <f t="shared" ref="K30:K36" si="14">IF($J$28&lt;&gt;0, (J30/$J$28), "")</f>
        <v/>
      </c>
      <c r="L30" s="304">
        <f>COUNTIFS([1]ClientHistorical!$BI:$BI,"Y",[1]ClientHistorical!$R:$R,1,[1]ClientHistorical!$BE:$BE,"C",[1]ClientHistorical!$BM:$BM,"S")</f>
        <v>0</v>
      </c>
      <c r="M30" s="309" t="str">
        <f t="shared" ref="M30:M36" si="15">IF($L$28&lt;&gt;0, (L30/$L$28), "")</f>
        <v/>
      </c>
      <c r="N30" s="304">
        <f>COUNTIFS([1]ClientHistorical!$BI:$BI,"Y",[1]ClientHistorical!$R:$R,1,[1]ClientHistorical!$BE:$BE,"U",[1]ClientHistorical!$BM:$BM,"S")</f>
        <v>0</v>
      </c>
      <c r="O30" s="308" t="str">
        <f t="shared" ref="O30:O36" si="16">IF($N$28&lt;&gt;0, (N30/$N$28), "")</f>
        <v/>
      </c>
    </row>
    <row r="31" spans="1:15" ht="15" customHeight="1">
      <c r="A31" s="212" t="s">
        <v>536</v>
      </c>
      <c r="B31" s="304">
        <f>COUNTIFS([1]ClientHistorical!$BI:$BI,"Y",[1]ClientHistorical!$U:$U,1) + COUNTIFS([1]ClientHistorical!$BI:$BI,"Y",[1]ClientHistorical!$U:$U,3)</f>
        <v>50</v>
      </c>
      <c r="C31" s="309" t="str">
        <f t="shared" si="10"/>
        <v/>
      </c>
      <c r="D31" s="304">
        <f>COUNTIFS([1]ClientHistorical!$BI:$BI,"Y",[1]ClientHistorical!$U:$U,1, [1]ClientHistorical!$BE:$BE,"A",[1]ClientHistorical!$BM:$BM,"L") + COUNTIFS([1]ClientHistorical!$BI:$BI,"Y",[1]ClientHistorical!$U:$U,3, [1]ClientHistorical!$BE:$BE,"A",[1]ClientHistorical!$BM:$BM,"L")</f>
        <v>0</v>
      </c>
      <c r="E31" s="310" t="str">
        <f t="shared" si="11"/>
        <v/>
      </c>
      <c r="F31" s="304">
        <f>COUNTIFS([1]ClientHistorical!$BI:$BI,"Y",[1]ClientHistorical!$U:$U,1, [1]ClientHistorical!$BE:$BE,"C",[1]ClientHistorical!$BM:$BM,"L") + COUNTIFS([1]ClientHistorical!$BI:$BI,"Y",[1]ClientHistorical!$U:$U,3, [1]ClientHistorical!$BE:$BE,"C",[1]ClientHistorical!$BM:$BM,"L")</f>
        <v>0</v>
      </c>
      <c r="G31" s="303" t="e">
        <f t="shared" si="12"/>
        <v>#VALUE!</v>
      </c>
      <c r="H31" s="304">
        <f>COUNTIFS([1]ClientHistorical!$BI:$BI,"Y",[1]ClientHistorical!$U:$U,1, [1]ClientHistorical!$BE:$BE,"U",[1]ClientHistorical!$BM:$BM,"L") + COUNTIFS([1]ClientHistorical!$BI:$BI,"Y",[1]ClientHistorical!$U:$U,3, [1]ClientHistorical!$BE:$BE,"U",[1]ClientHistorical!$BM:$BM,"L")</f>
        <v>0</v>
      </c>
      <c r="I31" s="309" t="str">
        <f t="shared" si="13"/>
        <v/>
      </c>
      <c r="J31" s="304">
        <f>COUNTIFS([1]ClientHistorical!$BI:$BI,"Y",[1]ClientHistorical!$U:$U,1, [1]ClientHistorical!$BE:$BE,"A",[1]ClientHistorical!$BM:$BM,"S") + COUNTIFS([1]ClientHistorical!$BI:$BI,"Y",[1]ClientHistorical!$U:$U,3, [1]ClientHistorical!$BE:$BE,"A",[1]ClientHistorical!$BM:$BM,"S")</f>
        <v>0</v>
      </c>
      <c r="K31" s="309" t="str">
        <f t="shared" si="14"/>
        <v/>
      </c>
      <c r="L31" s="304">
        <f>COUNTIFS([1]ClientHistorical!$BI:$BI,"Y",[1]ClientHistorical!$U:$U,1, [1]ClientHistorical!$BE:$BE,"C",[1]ClientHistorical!$BM:$BM,"S") + COUNTIFS([1]ClientHistorical!$BI:$BI,"Y",[1]ClientHistorical!$U:$U,3, [1]ClientHistorical!$BE:$BE,"C",[1]ClientHistorical!$BM:$BM,"S")</f>
        <v>0</v>
      </c>
      <c r="M31" s="309" t="str">
        <f t="shared" si="15"/>
        <v/>
      </c>
      <c r="N31" s="304">
        <f>COUNTIFS([1]ClientHistorical!$BI:$BI,"Y",[1]ClientHistorical!$U:$U,1, [1]ClientHistorical!$BE:$BE,"U",[1]ClientHistorical!$BM:$BM,"S") + COUNTIFS([1]ClientHistorical!$BI:$BI,"Y",[1]ClientHistorical!$U:$U,3, [1]ClientHistorical!$BE:$BE,"U",[1]ClientHistorical!$BM:$BM,"S")</f>
        <v>0</v>
      </c>
      <c r="O31" s="308" t="str">
        <f t="shared" si="16"/>
        <v/>
      </c>
    </row>
    <row r="32" spans="1:15" ht="15" customHeight="1">
      <c r="A32" s="212" t="s">
        <v>538</v>
      </c>
      <c r="B32" s="304">
        <f>COUNTIFS([1]ClientHistorical!$BI:$BI,"Y",[1]ClientHistorical!$U:$U,2) + COUNTIFS([1]ClientHistorical!$BI:$BI,"Y",[1]ClientHistorical!$U:$U,3)</f>
        <v>38</v>
      </c>
      <c r="C32" s="309" t="str">
        <f t="shared" si="10"/>
        <v/>
      </c>
      <c r="D32" s="304">
        <f>COUNTIFS([1]ClientHistorical!$BI:$BI,"Y",[1]ClientHistorical!$U:$U,2,[1]ClientHistorical!$BE:$BE,"A",[1]ClientHistorical!$BM:$BM,"L") + COUNTIFS([1]ClientHistorical!$BI:$BI,"Y",[1]ClientHistorical!$U:$U,3,[1]ClientHistorical!$BE:$BE,"A",[1]ClientHistorical!$BM:$BM,"L")</f>
        <v>0</v>
      </c>
      <c r="E32" s="310" t="str">
        <f t="shared" si="11"/>
        <v/>
      </c>
      <c r="F32" s="304">
        <f>COUNTIFS([1]ClientHistorical!$BI:$BI,"Y",[1]ClientHistorical!$U:$U,2,[1]ClientHistorical!$BE:$BE,"C",[1]ClientHistorical!$BM:$BM,"L") + COUNTIFS([1]ClientHistorical!$BI:$BI,"Y",[1]ClientHistorical!$U:$U,3,[1]ClientHistorical!$BE:$BE,"C",[1]ClientHistorical!$BM:$BM,"L")</f>
        <v>0</v>
      </c>
      <c r="G32" s="303" t="e">
        <f t="shared" si="12"/>
        <v>#VALUE!</v>
      </c>
      <c r="H32" s="304">
        <f>COUNTIFS([1]ClientHistorical!$BI:$BI,"Y",[1]ClientHistorical!$U:$U,2,[1]ClientHistorical!$BE:$BE,"U",[1]ClientHistorical!$BM:$BM,"L") + COUNTIFS([1]ClientHistorical!$BI:$BI,"Y",[1]ClientHistorical!$U:$U,3,[1]ClientHistorical!$BE:$BE,"U",[1]ClientHistorical!$BM:$BM,"L")</f>
        <v>0</v>
      </c>
      <c r="I32" s="309" t="str">
        <f t="shared" si="13"/>
        <v/>
      </c>
      <c r="J32" s="304">
        <f>COUNTIFS([1]ClientHistorical!$BI:$BI,"Y",[1]ClientHistorical!$U:$U,2,[1]ClientHistorical!$BE:$BE,"A",[1]ClientHistorical!$BM:$BM,"S") + COUNTIFS([1]ClientHistorical!$BI:$BI,"Y",[1]ClientHistorical!$U:$U,3,[1]ClientHistorical!$BE:$BE,"A",[1]ClientHistorical!$BM:$BM,"S")</f>
        <v>0</v>
      </c>
      <c r="K32" s="309" t="str">
        <f t="shared" si="14"/>
        <v/>
      </c>
      <c r="L32" s="304">
        <f>COUNTIFS([1]ClientHistorical!$BI:$BI,"Y",[1]ClientHistorical!$U:$U,2,[1]ClientHistorical!$BE:$BE,"C",[1]ClientHistorical!$BM:$BM,"S") + COUNTIFS([1]ClientHistorical!$BI:$BI,"Y",[1]ClientHistorical!$U:$U,3,[1]ClientHistorical!$BE:$BE,"C",[1]ClientHistorical!$BM:$BM,"S")</f>
        <v>0</v>
      </c>
      <c r="M32" s="309" t="str">
        <f t="shared" si="15"/>
        <v/>
      </c>
      <c r="N32" s="304">
        <f>COUNTIFS([1]ClientHistorical!$BI:$BI,"Y",[1]ClientHistorical!$U:$U,2,[1]ClientHistorical!$BE:$BE,"U",[1]ClientHistorical!$BM:$BM,"S") + COUNTIFS([1]ClientHistorical!$BI:$BI,"Y",[1]ClientHistorical!$U:$U,3,[1]ClientHistorical!$BE:$BE,"U",[1]ClientHistorical!$BM:$BM,"S")</f>
        <v>0</v>
      </c>
      <c r="O32" s="308" t="str">
        <f t="shared" si="16"/>
        <v/>
      </c>
    </row>
    <row r="33" spans="1:15" ht="21" customHeight="1">
      <c r="A33" s="212" t="s">
        <v>540</v>
      </c>
      <c r="B33" s="304">
        <f>COUNTIFS([1]ClientHistorical!$BI:$BI,"Y",[1]ClientHistorical!$N:$N,1)</f>
        <v>20</v>
      </c>
      <c r="C33" s="309" t="str">
        <f t="shared" si="10"/>
        <v/>
      </c>
      <c r="D33" s="304">
        <f>COUNTIFS([1]ClientHistorical!$BI:$BI,"Y",[1]ClientHistorical!$N:$N,1,[1]ClientHistorical!$BE:$BE,"A",[1]ClientHistorical!$BM:$BM,"L")</f>
        <v>0</v>
      </c>
      <c r="E33" s="310" t="str">
        <f t="shared" si="11"/>
        <v/>
      </c>
      <c r="F33" s="304">
        <f>COUNTIFS([1]ClientHistorical!$BI:$BI,"Y",[1]ClientHistorical!$N:$N,1,[1]ClientHistorical!$BE:$BE,"C",[1]ClientHistorical!$BM:$BM,"L")</f>
        <v>0</v>
      </c>
      <c r="G33" s="303" t="e">
        <f t="shared" si="12"/>
        <v>#VALUE!</v>
      </c>
      <c r="H33" s="304">
        <f>COUNTIFS([1]ClientHistorical!$BI:$BI,"Y",[1]ClientHistorical!$N:$N,1,[1]ClientHistorical!$BE:$BE,"U",[1]ClientHistorical!$BM:$BM,"L")</f>
        <v>0</v>
      </c>
      <c r="I33" s="309" t="str">
        <f t="shared" si="13"/>
        <v/>
      </c>
      <c r="J33" s="304">
        <f>COUNTIFS([1]ClientHistorical!$BI:$BI,"Y",[1]ClientHistorical!$N:$N,1,[1]ClientHistorical!$BE:$BE,"A",[1]ClientHistorical!$BM:$BM,"S")</f>
        <v>0</v>
      </c>
      <c r="K33" s="309" t="str">
        <f t="shared" si="14"/>
        <v/>
      </c>
      <c r="L33" s="304">
        <f>COUNTIFS([1]ClientHistorical!$BI:$BI,"Y",[1]ClientHistorical!$N:$N,1,[1]ClientHistorical!$BE:$BE,"C",[1]ClientHistorical!$BM:$BM,"S")</f>
        <v>0</v>
      </c>
      <c r="M33" s="309" t="str">
        <f t="shared" si="15"/>
        <v/>
      </c>
      <c r="N33" s="304">
        <f>COUNTIFS([1]ClientHistorical!$BI:$BI,"Y",[1]ClientHistorical!$N:$N,1,[1]ClientHistorical!$BE:$BE,"U",[1]ClientHistorical!$BM:$BM,"S")</f>
        <v>0</v>
      </c>
      <c r="O33" s="308" t="str">
        <f t="shared" si="16"/>
        <v/>
      </c>
    </row>
    <row r="34" spans="1:15" ht="21.75" customHeight="1">
      <c r="A34" s="212" t="s">
        <v>542</v>
      </c>
      <c r="B34" s="304">
        <f>COUNTIFS([1]ClientHistorical!$BI:$BI,"Y",[1]ClientHistorical!$P:$P,1)</f>
        <v>8</v>
      </c>
      <c r="C34" s="309" t="str">
        <f t="shared" si="10"/>
        <v/>
      </c>
      <c r="D34" s="304">
        <f>COUNTIFS([1]ClientHistorical!$BI:$BI,"Y",[1]ClientHistorical!$P:$P,1,[1]ClientHistorical!$BE:$BE,"A",[1]ClientHistorical!$BM:$BM,"L")</f>
        <v>0</v>
      </c>
      <c r="E34" s="310" t="str">
        <f t="shared" si="11"/>
        <v/>
      </c>
      <c r="F34" s="304">
        <f>COUNTIFS([1]ClientHistorical!$BI:$BI,"Y",[1]ClientHistorical!$P:$P,1,[1]ClientHistorical!$BE:$BE,"C",[1]ClientHistorical!$BM:$BM,"L")</f>
        <v>0</v>
      </c>
      <c r="G34" s="303" t="e">
        <f t="shared" si="12"/>
        <v>#VALUE!</v>
      </c>
      <c r="H34" s="304">
        <f>COUNTIFS([1]ClientHistorical!$BI:$BI,"Y",[1]ClientHistorical!$P:$P,1,[1]ClientHistorical!$BE:$BE,"U",[1]ClientHistorical!$BM:$BM,"L")</f>
        <v>0</v>
      </c>
      <c r="I34" s="309" t="str">
        <f t="shared" si="13"/>
        <v/>
      </c>
      <c r="J34" s="304">
        <f>COUNTIFS([1]ClientHistorical!$BI:$BI,"Y",[1]ClientHistorical!$P:$P,1,[1]ClientHistorical!$BE:$BE,"A",[1]ClientHistorical!$BM:$BM,"S")</f>
        <v>0</v>
      </c>
      <c r="K34" s="309" t="str">
        <f t="shared" si="14"/>
        <v/>
      </c>
      <c r="L34" s="304">
        <f>COUNTIFS([1]ClientHistorical!$BI:$BI,"Y",[1]ClientHistorical!$P:$P,1,[1]ClientHistorical!$BE:$BE,"C",[1]ClientHistorical!$BM:$BM,"S")</f>
        <v>0</v>
      </c>
      <c r="M34" s="309" t="str">
        <f t="shared" si="15"/>
        <v/>
      </c>
      <c r="N34" s="304">
        <f>COUNTIFS([1]ClientHistorical!$BI:$BI,"Y",[1]ClientHistorical!$P:$P,1,[1]ClientHistorical!$BE:$BE,"U",[1]ClientHistorical!$BM:$BM,"S")</f>
        <v>0</v>
      </c>
      <c r="O34" s="308" t="str">
        <f t="shared" si="16"/>
        <v/>
      </c>
    </row>
    <row r="35" spans="1:15" ht="21.75" customHeight="1">
      <c r="A35" s="212" t="s">
        <v>544</v>
      </c>
      <c r="B35" s="304">
        <f>COUNTIFS([1]ClientHistorical!$BI:$BI,"Y",[1]ClientHistorical!$L:$L,1)</f>
        <v>7</v>
      </c>
      <c r="C35" s="309" t="str">
        <f t="shared" si="10"/>
        <v/>
      </c>
      <c r="D35" s="304">
        <f>COUNTIFS([1]ClientHistorical!$BI:$BI,"Y",[1]ClientHistorical!$L:$L,1,[1]ClientHistorical!$BE:$BE,"A",[1]ClientHistorical!$BM:$BM,"L")</f>
        <v>0</v>
      </c>
      <c r="E35" s="310" t="str">
        <f t="shared" si="11"/>
        <v/>
      </c>
      <c r="F35" s="304">
        <f>COUNTIFS([1]ClientHistorical!$BI:$BI,"Y",[1]ClientHistorical!$L:$L,1,[1]ClientHistorical!$BE:$BE,"C",[1]ClientHistorical!$BM:$BM,"L")</f>
        <v>0</v>
      </c>
      <c r="G35" s="303" t="e">
        <f t="shared" si="12"/>
        <v>#VALUE!</v>
      </c>
      <c r="H35" s="304">
        <f>COUNTIFS([1]ClientHistorical!$BI:$BI,"Y",[1]ClientHistorical!$L:$L,1,[1]ClientHistorical!$BE:$BE,"U",[1]ClientHistorical!$BM:$BM,"L")</f>
        <v>0</v>
      </c>
      <c r="I35" s="309" t="str">
        <f t="shared" si="13"/>
        <v/>
      </c>
      <c r="J35" s="304">
        <f>COUNTIFS([1]ClientHistorical!$BI:$BI,"Y",[1]ClientHistorical!$L:$L,1,[1]ClientHistorical!$BE:$BE,"A",[1]ClientHistorical!$BM:$BM,"S")</f>
        <v>0</v>
      </c>
      <c r="K35" s="309" t="str">
        <f t="shared" si="14"/>
        <v/>
      </c>
      <c r="L35" s="304">
        <f>COUNTIFS([1]ClientHistorical!$BI:$BI,"Y",[1]ClientHistorical!$L:$L,1,[1]ClientHistorical!$BE:$BE,"C",[1]ClientHistorical!$BM:$BM,"S")</f>
        <v>0</v>
      </c>
      <c r="M35" s="309" t="str">
        <f t="shared" si="15"/>
        <v/>
      </c>
      <c r="N35" s="304">
        <f>COUNTIFS([1]ClientHistorical!$BI:$BI,"Y",[1]ClientHistorical!$L:$L,1,[1]ClientHistorical!$BE:$BE,"U",[1]ClientHistorical!$BM:$BM,"S")</f>
        <v>0</v>
      </c>
      <c r="O35" s="308" t="str">
        <f t="shared" si="16"/>
        <v/>
      </c>
    </row>
    <row r="36" spans="1:15" ht="15" customHeight="1" thickBot="1">
      <c r="A36" s="214" t="s">
        <v>546</v>
      </c>
      <c r="B36" s="197">
        <f>COUNTIFS([1]ClientHistorical!$BI:$BI,"Y",[1]ClientHistorical!$J:$J,1)</f>
        <v>30</v>
      </c>
      <c r="C36" s="311" t="str">
        <f t="shared" si="10"/>
        <v/>
      </c>
      <c r="D36" s="197">
        <f>COUNTIFS([1]ClientHistorical!$BI:$BI,"Y",[1]ClientHistorical!$J:$J,1,[1]ClientHistorical!$BE:$BE,"A",[1]ClientHistorical!$BM:$BM,"L")</f>
        <v>0</v>
      </c>
      <c r="E36" s="312" t="str">
        <f t="shared" si="11"/>
        <v/>
      </c>
      <c r="F36" s="197">
        <f>COUNTIFS([1]ClientHistorical!$BI:$BI,"Y",[1]ClientHistorical!$J:$J,1,[1]ClientHistorical!$BE:$BE,"C",[1]ClientHistorical!$BM:$BM,"L")</f>
        <v>0</v>
      </c>
      <c r="G36" s="234" t="e">
        <f t="shared" si="12"/>
        <v>#VALUE!</v>
      </c>
      <c r="H36" s="197">
        <f>COUNTIFS([1]ClientHistorical!$BI:$BI,"Y",[1]ClientHistorical!$J:$J,1,[1]ClientHistorical!$BE:$BE,"U",[1]ClientHistorical!$BM:$BM,"L")</f>
        <v>0</v>
      </c>
      <c r="I36" s="311" t="str">
        <f t="shared" si="13"/>
        <v/>
      </c>
      <c r="J36" s="197">
        <f>COUNTIFS([1]ClientHistorical!$BI:$BI,"Y",[1]ClientHistorical!$J:$J,1,[1]ClientHistorical!$BE:$BE,"A",[1]ClientHistorical!$BM:$BM,"S")</f>
        <v>0</v>
      </c>
      <c r="K36" s="311" t="str">
        <f t="shared" si="14"/>
        <v/>
      </c>
      <c r="L36" s="197">
        <f>COUNTIFS([1]ClientHistorical!$BI:$BI,"Y",[1]ClientHistorical!$J:$J,1,[1]ClientHistorical!$BE:$BE,"C",[1]ClientHistorical!$BM:$BM,"S")</f>
        <v>0</v>
      </c>
      <c r="M36" s="311" t="str">
        <f t="shared" si="15"/>
        <v/>
      </c>
      <c r="N36" s="197">
        <f>COUNTIFS([1]ClientHistorical!$BI:$BI,"Y",[1]ClientHistorical!$J:$J,1,[1]ClientHistorical!$BE:$BE,"U",[1]ClientHistorical!$BM:$BM,"S")</f>
        <v>0</v>
      </c>
      <c r="O36" s="313" t="str">
        <f t="shared" si="16"/>
        <v/>
      </c>
    </row>
    <row r="37" spans="1:15" ht="15.75" thickTop="1"/>
  </sheetData>
  <mergeCells count="53">
    <mergeCell ref="H5:K5"/>
    <mergeCell ref="L5:O5"/>
    <mergeCell ref="H4:O4"/>
    <mergeCell ref="A4:A6"/>
    <mergeCell ref="N6:O6"/>
    <mergeCell ref="N17:O18"/>
    <mergeCell ref="L7:M11"/>
    <mergeCell ref="N7:O11"/>
    <mergeCell ref="L6:M6"/>
    <mergeCell ref="H11:I11"/>
    <mergeCell ref="J6:K6"/>
    <mergeCell ref="J7:K7"/>
    <mergeCell ref="J8:K8"/>
    <mergeCell ref="J9:K9"/>
    <mergeCell ref="J10:K10"/>
    <mergeCell ref="J11:K11"/>
    <mergeCell ref="H6:I6"/>
    <mergeCell ref="H7:I7"/>
    <mergeCell ref="H8:I8"/>
    <mergeCell ref="H9:I9"/>
    <mergeCell ref="H10:I10"/>
    <mergeCell ref="A29:O29"/>
    <mergeCell ref="A12:O12"/>
    <mergeCell ref="A1:O1"/>
    <mergeCell ref="A2:O2"/>
    <mergeCell ref="A3:O3"/>
    <mergeCell ref="E4:G5"/>
    <mergeCell ref="F6:G6"/>
    <mergeCell ref="F7:G7"/>
    <mergeCell ref="F8:G8"/>
    <mergeCell ref="F9:G9"/>
    <mergeCell ref="F10:G10"/>
    <mergeCell ref="F11:G11"/>
    <mergeCell ref="B4:D5"/>
    <mergeCell ref="C6:D6"/>
    <mergeCell ref="C7:D7"/>
    <mergeCell ref="D17:E18"/>
    <mergeCell ref="C8:D8"/>
    <mergeCell ref="C9:D9"/>
    <mergeCell ref="C10:D10"/>
    <mergeCell ref="C11:D11"/>
    <mergeCell ref="A20:O20"/>
    <mergeCell ref="F17:G18"/>
    <mergeCell ref="H17:I18"/>
    <mergeCell ref="D16:I16"/>
    <mergeCell ref="B16:C18"/>
    <mergeCell ref="J16:O16"/>
    <mergeCell ref="J17:K18"/>
    <mergeCell ref="A16:A19"/>
    <mergeCell ref="A13:O13"/>
    <mergeCell ref="A14:O14"/>
    <mergeCell ref="A15:O15"/>
    <mergeCell ref="L17:M18"/>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sheetPr codeName="Sheet15"/>
  <dimension ref="A1:G40"/>
  <sheetViews>
    <sheetView topLeftCell="A17" workbookViewId="0">
      <selection activeCell="B6" sqref="B6"/>
    </sheetView>
  </sheetViews>
  <sheetFormatPr defaultRowHeight="15"/>
  <cols>
    <col min="1" max="1" width="16.85546875" customWidth="1"/>
    <col min="2" max="7" width="11.7109375" customWidth="1"/>
    <col min="8" max="12" width="5.7109375" customWidth="1"/>
    <col min="13" max="13" width="6.7109375" customWidth="1"/>
    <col min="14" max="14" width="7.28515625" customWidth="1"/>
  </cols>
  <sheetData>
    <row r="1" spans="1:7" ht="13.5" customHeight="1" thickTop="1">
      <c r="A1" s="817" t="s">
        <v>618</v>
      </c>
      <c r="B1" s="818"/>
      <c r="C1" s="818"/>
      <c r="D1" s="818"/>
      <c r="E1" s="818"/>
      <c r="F1" s="818"/>
      <c r="G1" s="819"/>
    </row>
    <row r="2" spans="1:7" ht="14.25" customHeight="1">
      <c r="A2" s="820" t="s">
        <v>15</v>
      </c>
      <c r="B2" s="821"/>
      <c r="C2" s="821"/>
      <c r="D2" s="821"/>
      <c r="E2" s="821"/>
      <c r="F2" s="821"/>
      <c r="G2" s="822"/>
    </row>
    <row r="3" spans="1:7" ht="13.5" customHeight="1" thickBot="1">
      <c r="A3" s="823" t="s">
        <v>1143</v>
      </c>
      <c r="B3" s="824"/>
      <c r="C3" s="824"/>
      <c r="D3" s="824"/>
      <c r="E3" s="824"/>
      <c r="F3" s="824"/>
      <c r="G3" s="825"/>
    </row>
    <row r="4" spans="1:7" ht="15" customHeight="1">
      <c r="A4" s="826" t="s">
        <v>1144</v>
      </c>
      <c r="B4" s="828" t="s">
        <v>1145</v>
      </c>
      <c r="C4" s="828"/>
      <c r="D4" s="828"/>
      <c r="E4" s="828"/>
      <c r="F4" s="828"/>
      <c r="G4" s="829"/>
    </row>
    <row r="5" spans="1:7" ht="52.5" customHeight="1">
      <c r="A5" s="827"/>
      <c r="B5" s="251" t="s">
        <v>1146</v>
      </c>
      <c r="C5" s="251" t="s">
        <v>1147</v>
      </c>
      <c r="D5" s="251" t="s">
        <v>1148</v>
      </c>
      <c r="E5" s="251" t="s">
        <v>1149</v>
      </c>
      <c r="F5" s="251" t="s">
        <v>1150</v>
      </c>
      <c r="G5" s="252" t="s">
        <v>1151</v>
      </c>
    </row>
    <row r="6" spans="1:7" ht="15" customHeight="1">
      <c r="A6" s="253" t="s">
        <v>619</v>
      </c>
      <c r="B6" s="254">
        <f>COUNTIFS(AdultChild_PP,"Adult",ExitStatusPP,"L",LastEpisode,"Y",IncomeAtEntry, 0)</f>
        <v>0</v>
      </c>
      <c r="C6" s="254">
        <f>COUNTIFS(AdultChild_PP,"Adult",ExitStatusPP,"L",LastEpisode,"Y",Income_MostRecent, 0)</f>
        <v>0</v>
      </c>
      <c r="D6" s="255" t="s">
        <v>169</v>
      </c>
      <c r="E6" s="254">
        <f>COUNTIFS(AdultChild_PP,"Adult",ExitStatusPP,"L",LastEpisode,"Y",IncomeAtEntry, 0,IncomeChange,"eq")</f>
        <v>0</v>
      </c>
      <c r="F6" s="254">
        <f>COUNTIFS(AdultChild_PP,"Adult",ExitStatusPP,"L",LastEpisode,"Y",IncomeAtEntry, 0,IncomeChange,"gt")</f>
        <v>0</v>
      </c>
      <c r="G6" s="256" t="s">
        <v>172</v>
      </c>
    </row>
    <row r="7" spans="1:7" ht="15" customHeight="1">
      <c r="A7" s="253" t="s">
        <v>620</v>
      </c>
      <c r="B7" s="254">
        <f>COUNTIFS(AdultChild_PP,"Adult",ExitStatusPP,"L",LastEpisode,"Y",IncomeAtEntry, "&gt;=.01",IncomeAtEntry,"&lt;=150.99")</f>
        <v>0</v>
      </c>
      <c r="C7" s="254">
        <f>COUNTIFS(AdultChild_PP,"Adult",ExitStatusPP,"L",LastEpisode,"Y",Income_MostRecent, "&gt;=.01",Income_MostRecent,"&lt;=150.99")</f>
        <v>0</v>
      </c>
      <c r="D7" s="254">
        <f>COUNTIFS(AdultChild_PP,"Adult",ExitStatusPP,"L",LastEpisode,"Y",IncomeAtEntry, "&gt;=.01",IncomeAtEntry,"&lt;=150.99",IncomeChange,"lt")</f>
        <v>0</v>
      </c>
      <c r="E7" s="254">
        <f>COUNTIFS(AdultChild_PP,"Adult",ExitStatusPP,"L",LastEpisode,"Y",IncomeAtEntry, "&gt;=.01",IncomeAtEntry,"&lt;=150.99",IncomeChange,"eq")</f>
        <v>0</v>
      </c>
      <c r="F7" s="254">
        <f>COUNTIFS(AdultChild_PP,"Adult",ExitStatusPP,"L",LastEpisode,"Y",IncomeAtEntry, "&gt;=.01",IncomeAtEntry,"&lt;=150.99",IncomeChange,"gt")</f>
        <v>0</v>
      </c>
      <c r="G7" s="256" t="s">
        <v>179</v>
      </c>
    </row>
    <row r="8" spans="1:7" ht="15" customHeight="1">
      <c r="A8" s="257" t="s">
        <v>1152</v>
      </c>
      <c r="B8" s="254">
        <f>COUNTIFS(AdultChild_PP,"Adult",ExitStatusPP,"L",LastEpisode,"Y",IncomeAtEntry, "&gt;=151",IncomeAtEntry,"&lt;=250.99")</f>
        <v>0</v>
      </c>
      <c r="C8" s="254">
        <f>COUNTIFS(AdultChild_PP,"Adult",ExitStatusPP,"L",LastEpisode,"Y",Income_MostRecent, "&gt;=151",Income_MostRecent,"&lt;=250.99")</f>
        <v>0</v>
      </c>
      <c r="D8" s="254">
        <f>COUNTIFS(AdultChild_PP,"Adult",ExitStatusPP,"L",LastEpisode,"Y",IncomeAtEntry, "&gt;=151",IncomeAtEntry,"&lt;=250.99",IncomeChange,"lt")</f>
        <v>0</v>
      </c>
      <c r="E8" s="254">
        <f>COUNTIFS(AdultChild_PP,"Adult",ExitStatusPP,"L",LastEpisode,"Y",IncomeAtEntry, "&gt;=151",IncomeAtEntry,"&lt;=250.99",IncomeChange,"eq")</f>
        <v>0</v>
      </c>
      <c r="F8" s="254">
        <f>COUNTIFS(AdultChild_PP,"Adult",ExitStatusPP,"L",LastEpisode,"Y",IncomeAtEntry, "&gt;=151",IncomeAtEntry,"&lt;=250.99",IncomeChange,"gt")</f>
        <v>0</v>
      </c>
      <c r="G8" s="256" t="s">
        <v>183</v>
      </c>
    </row>
    <row r="9" spans="1:7" ht="15" customHeight="1">
      <c r="A9" s="257" t="s">
        <v>1153</v>
      </c>
      <c r="B9" s="254">
        <f>COUNTIFS(AdultChild_PP,"Adult",ExitStatusPP,"L",LastEpisode,"Y",IncomeAtEntry, "&gt;=251",IncomeAtEntry,"&lt;=500.99")</f>
        <v>0</v>
      </c>
      <c r="C9" s="254">
        <f>COUNTIFS(AdultChild_PP,"Adult",ExitStatusPP,"L",LastEpisode,"Y",Income_MostRecent, "&gt;=251",Income_MostRecent,"&lt;=500.99")</f>
        <v>0</v>
      </c>
      <c r="D9" s="254">
        <f>COUNTIFS(AdultChild_PP,"Adult",ExitStatusPP,"L",LastEpisode,"Y",IncomeAtEntry, "&gt;=251",IncomeAtEntry,"&lt;=500.99",IncomeChange,"lt")</f>
        <v>0</v>
      </c>
      <c r="E9" s="254">
        <f>COUNTIFS(AdultChild_PP,"Adult",ExitStatusPP,"L",LastEpisode,"Y",IncomeAtEntry, "&gt;=251",IncomeAtEntry,"&lt;=500.99",IncomeChange,"eq")</f>
        <v>0</v>
      </c>
      <c r="F9" s="254">
        <f>COUNTIFS(AdultChild_PP,"Adult",ExitStatusPP,"L",LastEpisode,"Y",IncomeAtEntry, "&gt;=251",IncomeAtEntry,"&lt;=500.99",IncomeChange,"gt")</f>
        <v>0</v>
      </c>
      <c r="G9" s="256" t="s">
        <v>187</v>
      </c>
    </row>
    <row r="10" spans="1:7" ht="15" customHeight="1">
      <c r="A10" s="253" t="s">
        <v>621</v>
      </c>
      <c r="B10" s="254">
        <f>COUNTIFS(AdultChild_PP,"Adult",ExitStatusPP,"L",LastEpisode,"Y",IncomeAtEntry, "&gt;=501",IncomeAtEntry,"&lt;=750.99")</f>
        <v>0</v>
      </c>
      <c r="C10" s="254">
        <f>COUNTIFS(AdultChild_PP,"Adult",ExitStatusPP,"L",LastEpisode,"Y",Income_MostRecent, "&gt;=501",Income_MostRecent,"&lt;=750.99")</f>
        <v>0</v>
      </c>
      <c r="D10" s="254">
        <f>COUNTIFS(AdultChild_PP,"Adult",ExitStatusPP,"L",LastEpisode,"Y",IncomeAtEntry, "&gt;=501",IncomeAtEntry,"&lt;=750.99",IncomeChange,"lt")</f>
        <v>0</v>
      </c>
      <c r="E10" s="254">
        <f>COUNTIFS(AdultChild_PP,"Adult",ExitStatusPP,"L",LastEpisode,"Y",IncomeAtEntry, "&gt;=501",IncomeAtEntry,"&lt;=750.99",IncomeChange,"eq")</f>
        <v>0</v>
      </c>
      <c r="F10" s="254">
        <f>COUNTIFS(AdultChild_PP,"Adult",ExitStatusPP,"L",LastEpisode,"Y",IncomeAtEntry, "&gt;=501",IncomeAtEntry,"&lt;=750.99",IncomeChange,"gt")</f>
        <v>0</v>
      </c>
      <c r="G10" s="256" t="s">
        <v>191</v>
      </c>
    </row>
    <row r="11" spans="1:7" ht="15" customHeight="1">
      <c r="A11" s="253" t="s">
        <v>622</v>
      </c>
      <c r="B11" s="254">
        <f>COUNTIFS(AdultChild_PP,"Adult",ExitStatusPP,"L",LastEpisode,"Y",IncomeAtEntry, "&gt;=751",IncomeAtEntry,"&lt;=1000.99")</f>
        <v>0</v>
      </c>
      <c r="C11" s="254">
        <f>COUNTIFS(AdultChild_PP,"Adult",ExitStatusPP,"L",LastEpisode,"Y",Income_MostRecent, "&gt;=751",Income_MostRecent,"&lt;=1000.99")</f>
        <v>0</v>
      </c>
      <c r="D11" s="254">
        <f>COUNTIFS(AdultChild_PP,"Adult",ExitStatusPP,"L",LastEpisode,"Y",IncomeAtEntry, "&gt;=751",IncomeAtEntry,"&lt;=1000.99",IncomeChange,"lt")</f>
        <v>0</v>
      </c>
      <c r="E11" s="254">
        <f>COUNTIFS(AdultChild_PP,"Adult",ExitStatusPP,"L",LastEpisode,"Y",IncomeAtEntry, "&gt;=751",IncomeAtEntry,"&lt;=1000.99",IncomeChange,"eq")</f>
        <v>0</v>
      </c>
      <c r="F11" s="254">
        <f>COUNTIFS(AdultChild_PP,"Adult",ExitStatusPP,"L",LastEpisode,"Y",IncomeAtEntry, "&gt;=751",IncomeAtEntry,"&lt;=1000.99",IncomeChange,"gt")</f>
        <v>0</v>
      </c>
      <c r="G11" s="256" t="s">
        <v>529</v>
      </c>
    </row>
    <row r="12" spans="1:7" ht="15" customHeight="1">
      <c r="A12" s="253" t="s">
        <v>623</v>
      </c>
      <c r="B12" s="254">
        <f>COUNTIFS(AdultChild_PP,"Adult",ExitStatusPP,"L",LastEpisode,"Y",IncomeAtEntry, "&gt;=1001",IncomeAtEntry,"&lt;=1250.99")</f>
        <v>0</v>
      </c>
      <c r="C12" s="254">
        <f>COUNTIFS(AdultChild_PP,"Adult",ExitStatusPP,"L",LastEpisode,"Y",Income_MostRecent, "&gt;=1001",Income_MostRecent,"&lt;=1250.99")</f>
        <v>0</v>
      </c>
      <c r="D12" s="254">
        <f>COUNTIFS(AdultChild_PP,"Adult",ExitStatusPP,"L",LastEpisode,"Y",IncomeAtEntry, "&gt;=1001",IncomeAtEntry,"&lt;=1250.99",IncomeChange,"lt")</f>
        <v>0</v>
      </c>
      <c r="E12" s="254">
        <f>COUNTIFS(AdultChild_PP,"Adult",ExitStatusPP,"L",LastEpisode,"Y",IncomeAtEntry, "&gt;=1001",IncomeAtEntry,"&lt;=1250.99",IncomeChange,"eq")</f>
        <v>0</v>
      </c>
      <c r="F12" s="254">
        <f>COUNTIFS(AdultChild_PP,"Adult",ExitStatusPP,"L",LastEpisode,"Y",IncomeAtEntry, "&gt;=1001",IncomeAtEntry,"&lt;=1250.99",IncomeChange,"gt")</f>
        <v>0</v>
      </c>
      <c r="G12" s="256" t="s">
        <v>532</v>
      </c>
    </row>
    <row r="13" spans="1:7" ht="15" customHeight="1">
      <c r="A13" s="253" t="s">
        <v>624</v>
      </c>
      <c r="B13" s="254">
        <f>COUNTIFS(AdultChild_PP,"Adult",ExitStatusPP,"L",LastEpisode,"Y",IncomeAtEntry, "&gt;=1251",IncomeAtEntry,"&lt;=1500.99")</f>
        <v>0</v>
      </c>
      <c r="C13" s="254">
        <f>COUNTIFS(AdultChild_PP,"Adult",ExitStatusPP,"L",LastEpisode,"Y",Income_MostRecent, "&gt;=1251",Income_MostRecent,"&lt;=1500.99")</f>
        <v>0</v>
      </c>
      <c r="D13" s="254">
        <f>COUNTIFS(AdultChild_PP,"Adult",ExitStatusPP,"L",LastEpisode,"Y",IncomeAtEntry, "&gt;=1251",IncomeAtEntry,"&lt;=1500.99",IncomeChange,"lt")</f>
        <v>0</v>
      </c>
      <c r="E13" s="254">
        <f>COUNTIFS(AdultChild_PP,"Adult",ExitStatusPP,"L",LastEpisode,"Y",IncomeAtEntry, "&gt;=1251",IncomeAtEntry,"&lt;=1500.99",IncomeChange,"eq")</f>
        <v>0</v>
      </c>
      <c r="F13" s="254">
        <f>COUNTIFS(AdultChild_PP,"Adult",ExitStatusPP,"L",LastEpisode,"Y",IncomeAtEntry, "&gt;=1251",IncomeAtEntry,"&lt;=1500.99",IncomeChange,"gt")</f>
        <v>0</v>
      </c>
      <c r="G13" s="256" t="s">
        <v>634</v>
      </c>
    </row>
    <row r="14" spans="1:7" ht="15" customHeight="1">
      <c r="A14" s="253" t="s">
        <v>625</v>
      </c>
      <c r="B14" s="254">
        <f>COUNTIFS(AdultChild_PP,"Adult",ExitStatusPP,"L",LastEpisode,"Y",IncomeAtEntry, "&gt;=1501",IncomeAtEntry,"&lt;=1750.99")</f>
        <v>0</v>
      </c>
      <c r="C14" s="254">
        <f>COUNTIFS(AdultChild_PP,"Adult",ExitStatusPP,"L",LastEpisode,"Y",Income_MostRecent, "&gt;=1501",Income_MostRecent,"&lt;=1750.99")</f>
        <v>0</v>
      </c>
      <c r="D14" s="254">
        <f>COUNTIFS(AdultChild_PP,"Adult",ExitStatusPP,"L",LastEpisode,"Y",IncomeAtEntry, "&gt;=1501",IncomeAtEntry,"&lt;=1750.99",IncomeChange,"lt")</f>
        <v>0</v>
      </c>
      <c r="E14" s="254">
        <f>COUNTIFS(AdultChild_PP,"Adult",ExitStatusPP,"L",LastEpisode,"Y",IncomeAtEntry, "&gt;=1501",IncomeAtEntry,"&lt;=1750.99",IncomeChange,"eq")</f>
        <v>0</v>
      </c>
      <c r="F14" s="254">
        <f>COUNTIFS(AdultChild_PP,"Adult",ExitStatusPP,"L",LastEpisode,"Y",IncomeAtEntry, "&gt;=1501",IncomeAtEntry,"&lt;=1750.99",IncomeChange,"gt")</f>
        <v>0</v>
      </c>
      <c r="G14" s="256" t="s">
        <v>535</v>
      </c>
    </row>
    <row r="15" spans="1:7" ht="15" customHeight="1">
      <c r="A15" s="253" t="s">
        <v>626</v>
      </c>
      <c r="B15" s="254">
        <f>COUNTIFS(AdultChild_PP,"Adult",ExitStatusPP,"L",LastEpisode,"Y",IncomeAtEntry, "&gt;=1751",IncomeAtEntry,"&lt;=2000.99")</f>
        <v>0</v>
      </c>
      <c r="C15" s="254">
        <f>COUNTIFS(AdultChild_PP,"Adult",ExitStatusPP,"L",LastEpisode,"Y",Income_MostRecent, "&gt;=1751",Income_MostRecent,"&lt;=2000.99")</f>
        <v>0</v>
      </c>
      <c r="D15" s="254">
        <f>COUNTIFS(AdultChild_PP,"Adult",ExitStatusPP,"L",LastEpisode,"Y",IncomeAtEntry, "&gt;=1751",IncomeAtEntry,"&lt;=2000.99",IncomeChange,"lt")</f>
        <v>0</v>
      </c>
      <c r="E15" s="254">
        <f>COUNTIFS(AdultChild_PP,"Adult",ExitStatusPP,"L",LastEpisode,"Y",IncomeAtEntry, "&gt;=1751",IncomeAtEntry,"&lt;=2000.99",IncomeChange,"eq")</f>
        <v>0</v>
      </c>
      <c r="F15" s="254">
        <f>COUNTIFS(AdultChild_PP,"Adult",ExitStatusPP,"L",LastEpisode,"Y",IncomeAtEntry, "&gt;=1751",IncomeAtEntry,"&lt;=2000.99",IncomeChange,"gt")</f>
        <v>0</v>
      </c>
      <c r="G15" s="256" t="s">
        <v>537</v>
      </c>
    </row>
    <row r="16" spans="1:7" ht="15" customHeight="1">
      <c r="A16" s="253" t="s">
        <v>627</v>
      </c>
      <c r="B16" s="254">
        <f>COUNTIFS(AdultChild_PP,"Adult",ExitStatusPP,"L",LastEpisode,"Y",IncomeAtEntry, "&gt;=2001")</f>
        <v>0</v>
      </c>
      <c r="C16" s="254">
        <f>COUNTIFS(AdultChild_PP,"Adult",ExitStatusPP,"L",LastEpisode,"Y",Income_MostRecent, "&gt;=2001")</f>
        <v>0</v>
      </c>
      <c r="D16" s="254">
        <f>COUNTIFS(AdultChild_PP,"Adult",ExitStatusPP,"L",LastEpisode,"Y",IncomeAtEntry, "&gt;=2001",IncomeChange,"lt")</f>
        <v>0</v>
      </c>
      <c r="E16" s="254">
        <f>COUNTIFS(AdultChild_PP,"Adult",ExitStatusPP,"L",LastEpisode,"Y",IncomeAtEntry, "&gt;=2001",IncomeChange,"eq")</f>
        <v>0</v>
      </c>
      <c r="F16" s="254">
        <f>COUNTIFS(AdultChild_PP,"Adult",ExitStatusPP,"L",LastEpisode,"Y",IncomeAtEntry, "&gt;=2001",IncomeChange,"gt")</f>
        <v>0</v>
      </c>
      <c r="G16" s="256" t="s">
        <v>539</v>
      </c>
    </row>
    <row r="17" spans="1:7" ht="15" customHeight="1">
      <c r="A17" s="253" t="s">
        <v>436</v>
      </c>
      <c r="B17" s="254">
        <f>COUNTIFS(AdultChild_PP,"Adult",ExitStatusPP,"L",LastEpisode,"Y",IncomeAtEntry, "DontKnow")</f>
        <v>0</v>
      </c>
      <c r="C17" s="254">
        <f>COUNTIFS(AdultChild_PP,"Adult",ExitStatusPP,"L",LastEpisode,"Y",Income_MostRecent, "DontKnow")</f>
        <v>0</v>
      </c>
      <c r="D17" s="254">
        <f>COUNTIFS(AdultChild_PP,"Adult",ExitStatusPP,"L",LastEpisode,"Y",Income_MostRecent, "DontKnow",IncomeChange,"lt")</f>
        <v>0</v>
      </c>
      <c r="E17" s="254">
        <f>COUNTIFS(AdultChild_PP,"Adult",ExitStatusPP,"L",LastEpisode,"Y",Income_MostRecent, "DontKnow",IncomeChange,"eq")</f>
        <v>0</v>
      </c>
      <c r="F17" s="254">
        <f>COUNTIFS(AdultChild_PP,"Adult",ExitStatusPP,"L",LastEpisode,"Y",Income_MostRecent, "DontKnow",IncomeChange,"gt")</f>
        <v>0</v>
      </c>
      <c r="G17" s="256" t="s">
        <v>541</v>
      </c>
    </row>
    <row r="18" spans="1:7" ht="15" customHeight="1">
      <c r="A18" s="253" t="s">
        <v>134</v>
      </c>
      <c r="B18" s="254">
        <f>COUNTIFS(AdultChild_PP,"Adult",ExitStatusPP,"L",LastEpisode,"Y",IncomeAtEntry, "Missing")</f>
        <v>0</v>
      </c>
      <c r="C18" s="254">
        <f>COUNTIFS(AdultChild_PP,"Adult",ExitStatusPP,"L",LastEpisode,"Y",Income_MostRecent, "Missing")</f>
        <v>0</v>
      </c>
      <c r="D18" s="254">
        <f>COUNTIFS(AdultChild_PP,"Adult",ExitStatusPP,"L",LastEpisode,"Y",IncomeAtEntry, "Missing",IncomeChange,"lt")</f>
        <v>0</v>
      </c>
      <c r="E18" s="254">
        <f>COUNTIFS(AdultChild_PP,"Adult",ExitStatusPP,"L",LastEpisode,"Y",IncomeAtEntry, "Missing",IncomeChange,"eq")</f>
        <v>0</v>
      </c>
      <c r="F18" s="254">
        <f>COUNTIFS(AdultChild_PP,"Adult",ExitStatusPP,"L",LastEpisode,"Y",IncomeAtEntry, "Missing",IncomeChange,"gt")</f>
        <v>0</v>
      </c>
      <c r="G18" s="256" t="s">
        <v>543</v>
      </c>
    </row>
    <row r="19" spans="1:7" ht="27.75" customHeight="1" thickBot="1">
      <c r="A19" s="258" t="s">
        <v>438</v>
      </c>
      <c r="B19" s="259">
        <f>SUM(B6:B18)</f>
        <v>0</v>
      </c>
      <c r="C19" s="259">
        <f>SUM(C6:C18)</f>
        <v>0</v>
      </c>
      <c r="D19" s="259">
        <f>SUM(D7:D18)</f>
        <v>0</v>
      </c>
      <c r="E19" s="259">
        <f>SUM(E6:E18)</f>
        <v>0</v>
      </c>
      <c r="F19" s="259">
        <f>SUM(F6:F18)</f>
        <v>0</v>
      </c>
      <c r="G19" s="260" t="s">
        <v>545</v>
      </c>
    </row>
    <row r="20" spans="1:7" ht="12.75" customHeight="1" thickTop="1" thickBot="1"/>
    <row r="21" spans="1:7" ht="12" customHeight="1" thickTop="1">
      <c r="A21" s="804" t="s">
        <v>653</v>
      </c>
      <c r="B21" s="805"/>
      <c r="C21" s="805"/>
      <c r="D21" s="805"/>
      <c r="E21" s="805"/>
      <c r="F21" s="805"/>
      <c r="G21" s="806"/>
    </row>
    <row r="22" spans="1:7" ht="13.5" customHeight="1">
      <c r="A22" s="807" t="s">
        <v>15</v>
      </c>
      <c r="B22" s="808"/>
      <c r="C22" s="808"/>
      <c r="D22" s="808"/>
      <c r="E22" s="808"/>
      <c r="F22" s="808"/>
      <c r="G22" s="809"/>
    </row>
    <row r="23" spans="1:7" ht="17.25" customHeight="1" thickBot="1">
      <c r="A23" s="810" t="s">
        <v>1154</v>
      </c>
      <c r="B23" s="811"/>
      <c r="C23" s="811"/>
      <c r="D23" s="811"/>
      <c r="E23" s="811"/>
      <c r="F23" s="811"/>
      <c r="G23" s="812"/>
    </row>
    <row r="24" spans="1:7" ht="30.75" customHeight="1">
      <c r="A24" s="813" t="s">
        <v>1144</v>
      </c>
      <c r="B24" s="815" t="s">
        <v>1155</v>
      </c>
      <c r="C24" s="815"/>
      <c r="D24" s="815"/>
      <c r="E24" s="815"/>
      <c r="F24" s="815"/>
      <c r="G24" s="816"/>
    </row>
    <row r="25" spans="1:7" ht="51" customHeight="1">
      <c r="A25" s="814"/>
      <c r="B25" s="242" t="s">
        <v>1146</v>
      </c>
      <c r="C25" s="242" t="s">
        <v>1156</v>
      </c>
      <c r="D25" s="242" t="s">
        <v>1157</v>
      </c>
      <c r="E25" s="242" t="s">
        <v>1158</v>
      </c>
      <c r="F25" s="242" t="s">
        <v>1159</v>
      </c>
      <c r="G25" s="243" t="s">
        <v>1151</v>
      </c>
    </row>
    <row r="26" spans="1:7" ht="15" customHeight="1">
      <c r="A26" s="244" t="s">
        <v>619</v>
      </c>
      <c r="B26" s="254">
        <f>COUNTIFS(AdultChild_PP,"Adult",ExitStatusPP,"S",LastEpisode,"Y",IncomeAtEntry, 0)</f>
        <v>1</v>
      </c>
      <c r="C26" s="254">
        <f>COUNTIFS(AdultChild_PP,"Adult",ExitStatusPP,"S",LastEpisode,"Y",Income_MostRecent, 0)</f>
        <v>0</v>
      </c>
      <c r="D26" s="245" t="s">
        <v>169</v>
      </c>
      <c r="E26" s="254">
        <f>COUNTIFS(AdultChild_PP,"Adult",ExitStatusPP,"S",LastEpisode,"Y",IncomeAtEntry, 0,IncomeChange,"eq")</f>
        <v>1</v>
      </c>
      <c r="F26" s="254">
        <f>COUNTIFS(AdultChild_PP,"Adult",ExitStatusPP,"S",LastEpisode,"Y",IncomeAtEntry, 0,IncomeChange,"gt")</f>
        <v>0</v>
      </c>
      <c r="G26" s="246" t="s">
        <v>172</v>
      </c>
    </row>
    <row r="27" spans="1:7" ht="15" customHeight="1">
      <c r="A27" s="244" t="s">
        <v>620</v>
      </c>
      <c r="B27" s="254">
        <f>COUNTIFS(AdultChild_PP,"Adult",ExitStatusPP,"S",LastEpisode,"Y",IncomeAtEntry, "&gt;=.01",IncomeAtEntry,"&lt;=150.99")</f>
        <v>0</v>
      </c>
      <c r="C27" s="254">
        <f>COUNTIFS(AdultChild_PP,"Adult",ExitStatusPP,"S",LastEpisode,"Y",Income_MostRecent, "&gt;=.01",Income_MostRecent,"&lt;=150.99")</f>
        <v>1</v>
      </c>
      <c r="D27" s="254">
        <f>COUNTIFS(AdultChild_PP,"Adult",ExitStatusPP,"S",LastEpisode,"Y",IncomeAtEntry, "&gt;=.01",IncomeAtEntry,"&lt;=150.99",IncomeChange,"lt")</f>
        <v>0</v>
      </c>
      <c r="E27" s="254">
        <f>COUNTIFS(AdultChild_PP,"Adult",ExitStatusPP,"S",LastEpisode,"Y",IncomeAtEntry, "&gt;=.01",IncomeAtEntry,"&lt;=150.99",IncomeChange,"eq")</f>
        <v>0</v>
      </c>
      <c r="F27" s="254">
        <f>COUNTIFS(AdultChild_PP,"Adult",ExitStatusPP,"S",LastEpisode,"Y",IncomeAtEntry, "&gt;=.01",IncomeAtEntry,"&lt;=150.99",IncomeChange,"gt")</f>
        <v>0</v>
      </c>
      <c r="G27" s="246" t="s">
        <v>179</v>
      </c>
    </row>
    <row r="28" spans="1:7" ht="15" customHeight="1">
      <c r="A28" s="247" t="s">
        <v>1152</v>
      </c>
      <c r="B28" s="254">
        <f>COUNTIFS(AdultChild_PP,"Adult",ExitStatusPP,"S",LastEpisode,"Y",IncomeAtEntry, "&gt;=151",IncomeAtEntry,"&lt;=250.99")</f>
        <v>0</v>
      </c>
      <c r="C28" s="254">
        <f>COUNTIFS(AdultChild_PP,"Adult",ExitStatusPP,"S",LastEpisode,"Y",Income_MostRecent, "&gt;=151",Income_MostRecent,"&lt;=250.99")</f>
        <v>0</v>
      </c>
      <c r="D28" s="254">
        <f>COUNTIFS(AdultChild_PP,"Adult",ExitStatusPP,"S",LastEpisode,"Y",IncomeAtEntry, "&gt;=151",IncomeAtEntry,"&lt;=250.99",IncomeChange,"lt")</f>
        <v>0</v>
      </c>
      <c r="E28" s="254">
        <f>COUNTIFS(AdultChild_PP,"Adult",ExitStatusPP,"S",LastEpisode,"Y",IncomeAtEntry, "&gt;=151",IncomeAtEntry,"&lt;=250.99",IncomeChange,"eq")</f>
        <v>0</v>
      </c>
      <c r="F28" s="254">
        <f>COUNTIFS(AdultChild_PP,"Adult",ExitStatusPP,"S",LastEpisode,"Y",IncomeAtEntry, "&gt;=151",IncomeAtEntry,"&lt;=250.99",IncomeChange,"gt")</f>
        <v>0</v>
      </c>
      <c r="G28" s="246" t="s">
        <v>183</v>
      </c>
    </row>
    <row r="29" spans="1:7" ht="15" customHeight="1">
      <c r="A29" s="247" t="s">
        <v>1153</v>
      </c>
      <c r="B29" s="254">
        <f>COUNTIFS(AdultChild_PP,"Adult",ExitStatusPP,"S",LastEpisode,"Y",IncomeAtEntry, "&gt;=251",IncomeAtEntry,"&lt;=500.99")</f>
        <v>0</v>
      </c>
      <c r="C29" s="254">
        <f>COUNTIFS(AdultChild_PP,"Adult",ExitStatusPP,"S",LastEpisode,"Y",Income_MostRecent, "&gt;=251",Income_MostRecent,"&lt;=500.99")</f>
        <v>0</v>
      </c>
      <c r="D29" s="254">
        <f>COUNTIFS(AdultChild_PP,"Adult",ExitStatusPP,"S",LastEpisode,"Y",IncomeAtEntry, "&gt;=251",IncomeAtEntry,"&lt;=500.99",IncomeChange,"lt")</f>
        <v>0</v>
      </c>
      <c r="E29" s="254">
        <f>COUNTIFS(AdultChild_PP,"Adult",ExitStatusPP,"S",LastEpisode,"Y",IncomeAtEntry, "&gt;=251",IncomeAtEntry,"&lt;=500.99",IncomeChange,"eq")</f>
        <v>0</v>
      </c>
      <c r="F29" s="254">
        <f>COUNTIFS(AdultChild_PP,"Adult",ExitStatusPP,"S",LastEpisode,"Y",IncomeAtEntry, "&gt;=251",IncomeAtEntry,"&lt;=500.99",IncomeChange,"gt")</f>
        <v>0</v>
      </c>
      <c r="G29" s="246" t="s">
        <v>187</v>
      </c>
    </row>
    <row r="30" spans="1:7" ht="15" customHeight="1">
      <c r="A30" s="244" t="s">
        <v>621</v>
      </c>
      <c r="B30" s="254">
        <f>COUNTIFS(AdultChild_PP,"Adult",ExitStatusPP,"S",LastEpisode,"Y",IncomeAtEntry, "&gt;=501",IncomeAtEntry,"&lt;=750.99")</f>
        <v>0</v>
      </c>
      <c r="C30" s="254">
        <f>COUNTIFS(AdultChild_PP,"Adult",ExitStatusPP,"S",LastEpisode,"Y",Income_MostRecent, "&gt;=501",Income_MostRecent,"&lt;=750.99")</f>
        <v>0</v>
      </c>
      <c r="D30" s="254">
        <f>COUNTIFS(AdultChild_PP,"Adult",ExitStatusPP,"S",LastEpisode,"Y",IncomeAtEntry, "&gt;=501",IncomeAtEntry,"&lt;=750.99",IncomeChange,"lt")</f>
        <v>0</v>
      </c>
      <c r="E30" s="254">
        <f>COUNTIFS(AdultChild_PP,"Adult",ExitStatusPP,"S",LastEpisode,"Y",IncomeAtEntry, "&gt;=501",IncomeAtEntry,"&lt;=750.99",IncomeChange,"eq")</f>
        <v>0</v>
      </c>
      <c r="F30" s="254">
        <f>COUNTIFS(AdultChild_PP,"Adult",ExitStatusPP,"S",LastEpisode,"Y",IncomeAtEntry, "&gt;=501",IncomeAtEntry,"&lt;=750.99",IncomeChange,"gt")</f>
        <v>0</v>
      </c>
      <c r="G30" s="246" t="s">
        <v>191</v>
      </c>
    </row>
    <row r="31" spans="1:7" ht="15" customHeight="1">
      <c r="A31" s="244" t="s">
        <v>622</v>
      </c>
      <c r="B31" s="254">
        <f>COUNTIFS(AdultChild_PP,"Adult",ExitStatusPP,"S",LastEpisode,"Y",IncomeAtEntry, "&gt;=751",IncomeAtEntry,"&lt;=1000.99")</f>
        <v>0</v>
      </c>
      <c r="C31" s="254">
        <f>COUNTIFS(AdultChild_PP,"Adult",ExitStatusPP,"S",LastEpisode,"Y",Income_MostRecent, "&gt;=751",Income_MostRecent,"&lt;=1000.99")</f>
        <v>0</v>
      </c>
      <c r="D31" s="254">
        <f>COUNTIFS(AdultChild_PP,"Adult",ExitStatusPP,"S",LastEpisode,"Y",IncomeAtEntry, "&gt;=751",IncomeAtEntry,"&lt;=1000.99",IncomeChange,"lt")</f>
        <v>0</v>
      </c>
      <c r="E31" s="254">
        <f>COUNTIFS(AdultChild_PP,"Adult",ExitStatusPP,"S",LastEpisode,"Y",IncomeAtEntry, "&gt;=751",IncomeAtEntry,"&lt;=1000.99",IncomeChange,"eq")</f>
        <v>0</v>
      </c>
      <c r="F31" s="254">
        <f>COUNTIFS(AdultChild_PP,"Adult",ExitStatusPP,"S",LastEpisode,"Y",IncomeAtEntry, "&gt;=751",IncomeAtEntry,"&lt;=1000.99",IncomeChange,"gt")</f>
        <v>0</v>
      </c>
      <c r="G31" s="246" t="s">
        <v>529</v>
      </c>
    </row>
    <row r="32" spans="1:7" ht="15" customHeight="1">
      <c r="A32" s="244" t="s">
        <v>623</v>
      </c>
      <c r="B32" s="254">
        <f>COUNTIFS(AdultChild_PP,"Adult",ExitStatusPP,"S",LastEpisode,"Y",IncomeAtEntry, "&gt;=1001",IncomeAtEntry,"&lt;=1250.99")</f>
        <v>0</v>
      </c>
      <c r="C32" s="254">
        <f>COUNTIFS(AdultChild_PP,"Adult",ExitStatusPP,"S",LastEpisode,"Y",Income_MostRecent, "&gt;=1001",Income_MostRecent,"&lt;=1250.99")</f>
        <v>0</v>
      </c>
      <c r="D32" s="254">
        <f>COUNTIFS(AdultChild_PP,"Adult",ExitStatusPP,"S",LastEpisode,"Y",IncomeAtEntry, "&gt;=1001",IncomeAtEntry,"&lt;=1250.99",IncomeChange,"lt")</f>
        <v>0</v>
      </c>
      <c r="E32" s="254">
        <f>COUNTIFS(AdultChild_PP,"Adult",ExitStatusPP,"S",LastEpisode,"Y",IncomeAtEntry, "&gt;=1001",IncomeAtEntry,"&lt;=1250.99",IncomeChange,"eq")</f>
        <v>0</v>
      </c>
      <c r="F32" s="254">
        <f>COUNTIFS(AdultChild_PP,"Adult",ExitStatusPP,"S",LastEpisode,"Y",IncomeAtEntry, "&gt;=1001",IncomeAtEntry,"&lt;=1250.99",IncomeChange,"gt")</f>
        <v>0</v>
      </c>
      <c r="G32" s="246" t="s">
        <v>532</v>
      </c>
    </row>
    <row r="33" spans="1:7" ht="15" customHeight="1">
      <c r="A33" s="244" t="s">
        <v>624</v>
      </c>
      <c r="B33" s="254">
        <f>COUNTIFS(AdultChild_PP,"Adult",ExitStatusPP,"S",LastEpisode,"Y",IncomeAtEntry, "&gt;=1251",IncomeAtEntry,"&lt;=1500.99")</f>
        <v>0</v>
      </c>
      <c r="C33" s="254">
        <f>COUNTIFS(AdultChild_PP,"Adult",ExitStatusPP,"S",LastEpisode,"Y",Income_MostRecent, "&gt;=1251",Income_MostRecent,"&lt;=1500.99")</f>
        <v>0</v>
      </c>
      <c r="D33" s="254">
        <f>COUNTIFS(AdultChild_PP,"Adult",ExitStatusPP,"S",LastEpisode,"Y",IncomeAtEntry, "&gt;=1251",IncomeAtEntry,"&lt;=1500.99",IncomeChange,"lt")</f>
        <v>0</v>
      </c>
      <c r="E33" s="254">
        <f>COUNTIFS(AdultChild_PP,"Adult",ExitStatusPP,"S",LastEpisode,"Y",IncomeAtEntry, "&gt;=1251",IncomeAtEntry,"&lt;=1500.99",IncomeChange,"eq")</f>
        <v>0</v>
      </c>
      <c r="F33" s="254">
        <f>COUNTIFS(AdultChild_PP,"Adult",ExitStatusPP,"S",LastEpisode,"Y",IncomeAtEntry, "&gt;=1251",IncomeAtEntry,"&lt;=1500.99",IncomeChange,"gt")</f>
        <v>0</v>
      </c>
      <c r="G33" s="246" t="s">
        <v>634</v>
      </c>
    </row>
    <row r="34" spans="1:7" ht="15" customHeight="1">
      <c r="A34" s="244" t="s">
        <v>625</v>
      </c>
      <c r="B34" s="254">
        <f>COUNTIFS(AdultChild_PP,"Adult",ExitStatusPP,"S",LastEpisode,"Y",IncomeAtEntry, "&gt;=1501",IncomeAtEntry,"&lt;=1750.99")</f>
        <v>0</v>
      </c>
      <c r="C34" s="254">
        <f>COUNTIFS(AdultChild_PP,"Adult",ExitStatusPP,"S",LastEpisode,"Y",Income_MostRecent, "&gt;=1501",Income_MostRecent,"&lt;=1750.99")</f>
        <v>0</v>
      </c>
      <c r="D34" s="254">
        <f>COUNTIFS(AdultChild_PP,"Adult",ExitStatusPP,"S",LastEpisode,"Y",IncomeAtEntry, "&gt;=1501",IncomeAtEntry,"&lt;=1750.99",IncomeChange,"lt")</f>
        <v>0</v>
      </c>
      <c r="E34" s="254">
        <f>COUNTIFS(AdultChild_PP,"Adult",ExitStatusPP,"S",LastEpisode,"Y",IncomeAtEntry, "&gt;=1501",IncomeAtEntry,"&lt;=1750.99",IncomeChange,"eq")</f>
        <v>0</v>
      </c>
      <c r="F34" s="254">
        <f>COUNTIFS(AdultChild_PP,"Adult",ExitStatusPP,"S",LastEpisode,"Y",IncomeAtEntry, "&gt;=1501",IncomeAtEntry,"&lt;=1750.99",IncomeChange,"gt")</f>
        <v>0</v>
      </c>
      <c r="G34" s="246" t="s">
        <v>535</v>
      </c>
    </row>
    <row r="35" spans="1:7" ht="15" customHeight="1">
      <c r="A35" s="244" t="s">
        <v>626</v>
      </c>
      <c r="B35" s="254">
        <f>COUNTIFS(AdultChild_PP,"Adult",ExitStatusPP,"S",LastEpisode,"Y",IncomeAtEntry, "&gt;=1751",IncomeAtEntry,"&lt;=2000.99")</f>
        <v>0</v>
      </c>
      <c r="C35" s="254">
        <f>COUNTIFS(AdultChild_PP,"Adult",ExitStatusPP,"S",LastEpisode,"Y",Income_MostRecent, "&gt;=1751",Income_MostRecent,"&lt;=2000.99")</f>
        <v>0</v>
      </c>
      <c r="D35" s="254">
        <f>COUNTIFS(AdultChild_PP,"Adult",ExitStatusPP,"S",LastEpisode,"Y",IncomeAtEntry, "&gt;=1751",IncomeAtEntry,"&lt;=2000.99",IncomeChange,"lt")</f>
        <v>0</v>
      </c>
      <c r="E35" s="254">
        <f>COUNTIFS(AdultChild_PP,"Adult",ExitStatusPP,"S",LastEpisode,"Y",IncomeAtEntry, "&gt;=1751",IncomeAtEntry,"&lt;=2000.99",IncomeChange,"eq")</f>
        <v>0</v>
      </c>
      <c r="F35" s="254">
        <f>COUNTIFS(AdultChild_PP,"Adult",ExitStatusPP,"S",LastEpisode,"Y",IncomeAtEntry, "&gt;=1751",IncomeAtEntry,"&lt;=2000.99",IncomeChange,"gt")</f>
        <v>0</v>
      </c>
      <c r="G35" s="246" t="s">
        <v>537</v>
      </c>
    </row>
    <row r="36" spans="1:7" ht="15" customHeight="1">
      <c r="A36" s="244" t="s">
        <v>627</v>
      </c>
      <c r="B36" s="254">
        <f>COUNTIFS(AdultChild_PP,"Adult",ExitStatusPP,"S",LastEpisode,"Y",IncomeAtEntry, "&gt;=2001")</f>
        <v>0</v>
      </c>
      <c r="C36" s="254">
        <f>COUNTIFS(AdultChild_PP,"Adult",ExitStatusPP,"S",LastEpisode,"Y",Income_MostRecent, "&gt;=2001")</f>
        <v>0</v>
      </c>
      <c r="D36" s="254">
        <f>COUNTIFS(AdultChild_PP,"Adult",ExitStatusPP,"S",LastEpisode,"Y",IncomeAtEntry, "&gt;=2001",IncomeChange,"lt")</f>
        <v>0</v>
      </c>
      <c r="E36" s="254">
        <f>COUNTIFS(AdultChild_PP,"Adult",ExitStatusPP,"S",LastEpisode,"Y",IncomeAtEntry, "&gt;=2001",IncomeChange,"eq")</f>
        <v>0</v>
      </c>
      <c r="F36" s="254">
        <f>COUNTIFS(AdultChild_PP,"Adult",ExitStatusPP,"S",LastEpisode,"Y",IncomeAtEntry, "&gt;=2001",IncomeChange,"gt")</f>
        <v>0</v>
      </c>
      <c r="G36" s="246" t="s">
        <v>539</v>
      </c>
    </row>
    <row r="37" spans="1:7" ht="15" customHeight="1">
      <c r="A37" s="244" t="s">
        <v>436</v>
      </c>
      <c r="B37" s="254">
        <f>COUNTIFS(AdultChild_PP,"Adult",ExitStatusPP,"S",LastEpisode,"Y",IncomeAtEntry, "DontKnow")</f>
        <v>0</v>
      </c>
      <c r="C37" s="254">
        <f>COUNTIFS(AdultChild_PP,"Adult",ExitStatusPP,"S",LastEpisode,"Y",Income_MostRecent, "DontKnow")</f>
        <v>0</v>
      </c>
      <c r="D37" s="254">
        <f>COUNTIFS(AdultChild_PP,"Adult",ExitStatusPP,"S",LastEpisode,"Y",Income_MostRecent, "DontKnow",IncomeChange,"lt")</f>
        <v>0</v>
      </c>
      <c r="E37" s="254">
        <f>COUNTIFS(AdultChild_PP,"Adult",ExitStatusPP,"S",LastEpisode,"Y",Income_MostRecent, "DontKnow",IncomeChange,"eq")</f>
        <v>0</v>
      </c>
      <c r="F37" s="254">
        <f>COUNTIFS(AdultChild_PP,"Adult",ExitStatusPP,"S",LastEpisode,"Y",Income_MostRecent, "DontKnow",IncomeChange,"gt")</f>
        <v>0</v>
      </c>
      <c r="G37" s="246" t="s">
        <v>541</v>
      </c>
    </row>
    <row r="38" spans="1:7" ht="15" customHeight="1">
      <c r="A38" s="244" t="s">
        <v>134</v>
      </c>
      <c r="B38" s="254">
        <f>COUNTIFS(AdultChild_PP,"Adult",ExitStatusPP,"S",LastEpisode,"Y",IncomeAtEntry, "Missing")</f>
        <v>0</v>
      </c>
      <c r="C38" s="254">
        <f>COUNTIFS(AdultChild_PP,"Adult",ExitStatusPP,"S",LastEpisode,"Y",Income_MostRecent, "Missing")</f>
        <v>0</v>
      </c>
      <c r="D38" s="254">
        <f>COUNTIFS(AdultChild_PP,"Adult",ExitStatusPP,"S",LastEpisode,"Y",IncomeAtEntry, "Missing",IncomeChange,"lt")</f>
        <v>0</v>
      </c>
      <c r="E38" s="254">
        <f>COUNTIFS(AdultChild_PP,"Adult",ExitStatusPP,"S",LastEpisode,"Y",IncomeAtEntry, "Missing",IncomeChange,"eq")</f>
        <v>0</v>
      </c>
      <c r="F38" s="254">
        <f>COUNTIFS(AdultChild_PP,"Adult",ExitStatusPP,"S",LastEpisode,"Y",IncomeAtEntry, "Missing",IncomeChange,"gt")</f>
        <v>0</v>
      </c>
      <c r="G38" s="246" t="s">
        <v>543</v>
      </c>
    </row>
    <row r="39" spans="1:7" ht="27.75" customHeight="1" thickBot="1">
      <c r="A39" s="248" t="s">
        <v>438</v>
      </c>
      <c r="B39" s="249">
        <f>SUM(B26:B38)</f>
        <v>1</v>
      </c>
      <c r="C39" s="249">
        <f t="shared" ref="C39:F39" si="0">SUM(C26:C38)</f>
        <v>1</v>
      </c>
      <c r="D39" s="249">
        <f t="shared" si="0"/>
        <v>0</v>
      </c>
      <c r="E39" s="249">
        <f t="shared" si="0"/>
        <v>1</v>
      </c>
      <c r="F39" s="249">
        <f t="shared" si="0"/>
        <v>0</v>
      </c>
      <c r="G39" s="250" t="s">
        <v>545</v>
      </c>
    </row>
    <row r="40" spans="1:7" ht="15.75" thickTop="1"/>
  </sheetData>
  <mergeCells count="10">
    <mergeCell ref="A1:G1"/>
    <mergeCell ref="A2:G2"/>
    <mergeCell ref="A3:G3"/>
    <mergeCell ref="A4:A5"/>
    <mergeCell ref="B4:G4"/>
    <mergeCell ref="A21:G21"/>
    <mergeCell ref="A22:G22"/>
    <mergeCell ref="A23:G23"/>
    <mergeCell ref="A24:A25"/>
    <mergeCell ref="B24:G24"/>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sheetPr codeName="Sheet16"/>
  <dimension ref="A1:AE85"/>
  <sheetViews>
    <sheetView topLeftCell="B5" workbookViewId="0">
      <selection activeCell="R15" sqref="R15:AE38"/>
    </sheetView>
  </sheetViews>
  <sheetFormatPr defaultRowHeight="15"/>
  <cols>
    <col min="1" max="1" width="23.7109375" customWidth="1"/>
    <col min="2" max="15" width="4.7109375" customWidth="1"/>
    <col min="16" max="16" width="0.5703125" customWidth="1"/>
    <col min="17" max="17" width="23.7109375" customWidth="1"/>
    <col min="18" max="31" width="4.7109375" customWidth="1"/>
  </cols>
  <sheetData>
    <row r="1" spans="1:31" ht="15.75" customHeight="1" thickTop="1">
      <c r="A1" s="844" t="s">
        <v>655</v>
      </c>
      <c r="B1" s="463"/>
      <c r="C1" s="463"/>
      <c r="D1" s="463"/>
      <c r="E1" s="463"/>
      <c r="F1" s="463"/>
      <c r="G1" s="463"/>
      <c r="H1" s="463"/>
      <c r="I1" s="463"/>
      <c r="J1" s="463"/>
      <c r="K1" s="463"/>
      <c r="L1" s="463"/>
      <c r="M1" s="463"/>
      <c r="N1" s="463"/>
      <c r="O1" s="845"/>
      <c r="Q1" s="844" t="s">
        <v>683</v>
      </c>
      <c r="R1" s="463"/>
      <c r="S1" s="463"/>
      <c r="T1" s="463"/>
      <c r="U1" s="463"/>
      <c r="V1" s="463"/>
      <c r="W1" s="463"/>
      <c r="X1" s="463"/>
      <c r="Y1" s="463"/>
      <c r="Z1" s="463"/>
      <c r="AA1" s="463"/>
      <c r="AB1" s="463"/>
      <c r="AC1" s="463"/>
      <c r="AD1" s="463"/>
      <c r="AE1" s="845"/>
    </row>
    <row r="2" spans="1:31" ht="15" customHeight="1">
      <c r="A2" s="846" t="s">
        <v>15</v>
      </c>
      <c r="B2" s="847"/>
      <c r="C2" s="847"/>
      <c r="D2" s="847"/>
      <c r="E2" s="847"/>
      <c r="F2" s="847"/>
      <c r="G2" s="847"/>
      <c r="H2" s="847"/>
      <c r="I2" s="847"/>
      <c r="J2" s="847"/>
      <c r="K2" s="847"/>
      <c r="L2" s="847"/>
      <c r="M2" s="847"/>
      <c r="N2" s="847"/>
      <c r="O2" s="848"/>
      <c r="Q2" s="846" t="s">
        <v>15</v>
      </c>
      <c r="R2" s="847"/>
      <c r="S2" s="847"/>
      <c r="T2" s="847"/>
      <c r="U2" s="847"/>
      <c r="V2" s="847"/>
      <c r="W2" s="847"/>
      <c r="X2" s="847"/>
      <c r="Y2" s="847"/>
      <c r="Z2" s="847"/>
      <c r="AA2" s="847"/>
      <c r="AB2" s="847"/>
      <c r="AC2" s="847"/>
      <c r="AD2" s="847"/>
      <c r="AE2" s="848"/>
    </row>
    <row r="3" spans="1:31" ht="15.75" customHeight="1" thickBot="1">
      <c r="A3" s="869" t="s">
        <v>221</v>
      </c>
      <c r="B3" s="532"/>
      <c r="C3" s="532"/>
      <c r="D3" s="532"/>
      <c r="E3" s="532"/>
      <c r="F3" s="532"/>
      <c r="G3" s="532"/>
      <c r="H3" s="532"/>
      <c r="I3" s="532"/>
      <c r="J3" s="532"/>
      <c r="K3" s="532"/>
      <c r="L3" s="532"/>
      <c r="M3" s="532"/>
      <c r="N3" s="532"/>
      <c r="O3" s="870"/>
      <c r="Q3" s="846" t="s">
        <v>221</v>
      </c>
      <c r="R3" s="847"/>
      <c r="S3" s="847"/>
      <c r="T3" s="847"/>
      <c r="U3" s="847"/>
      <c r="V3" s="847"/>
      <c r="W3" s="847"/>
      <c r="X3" s="847"/>
      <c r="Y3" s="847"/>
      <c r="Z3" s="847"/>
      <c r="AA3" s="847"/>
      <c r="AB3" s="847"/>
      <c r="AC3" s="847"/>
      <c r="AD3" s="847"/>
      <c r="AE3" s="848"/>
    </row>
    <row r="4" spans="1:31" ht="35.25" customHeight="1">
      <c r="A4" s="262"/>
      <c r="B4" s="849" t="s">
        <v>657</v>
      </c>
      <c r="C4" s="849"/>
      <c r="D4" s="849" t="s">
        <v>1135</v>
      </c>
      <c r="E4" s="849"/>
      <c r="F4" s="849"/>
      <c r="G4" s="849"/>
      <c r="H4" s="849"/>
      <c r="I4" s="849"/>
      <c r="J4" s="849" t="s">
        <v>1136</v>
      </c>
      <c r="K4" s="849"/>
      <c r="L4" s="849"/>
      <c r="M4" s="849"/>
      <c r="N4" s="849"/>
      <c r="O4" s="850"/>
      <c r="Q4" s="262"/>
      <c r="R4" s="849" t="s">
        <v>685</v>
      </c>
      <c r="S4" s="849"/>
      <c r="T4" s="849" t="s">
        <v>1162</v>
      </c>
      <c r="U4" s="849"/>
      <c r="V4" s="849"/>
      <c r="W4" s="849"/>
      <c r="X4" s="849"/>
      <c r="Y4" s="849"/>
      <c r="Z4" s="849" t="s">
        <v>1163</v>
      </c>
      <c r="AA4" s="849"/>
      <c r="AB4" s="849"/>
      <c r="AC4" s="849"/>
      <c r="AD4" s="849"/>
      <c r="AE4" s="850"/>
    </row>
    <row r="5" spans="1:31" ht="14.25" customHeight="1">
      <c r="A5" s="768" t="s">
        <v>656</v>
      </c>
      <c r="B5" s="708"/>
      <c r="C5" s="708"/>
      <c r="D5" s="708" t="s">
        <v>122</v>
      </c>
      <c r="E5" s="708"/>
      <c r="F5" s="708" t="s">
        <v>518</v>
      </c>
      <c r="G5" s="708"/>
      <c r="H5" s="708" t="s">
        <v>1142</v>
      </c>
      <c r="I5" s="708"/>
      <c r="J5" s="708" t="s">
        <v>122</v>
      </c>
      <c r="K5" s="708"/>
      <c r="L5" s="708" t="s">
        <v>518</v>
      </c>
      <c r="M5" s="708"/>
      <c r="N5" s="708" t="s">
        <v>1142</v>
      </c>
      <c r="O5" s="851"/>
      <c r="Q5" s="768" t="s">
        <v>684</v>
      </c>
      <c r="R5" s="708"/>
      <c r="S5" s="708"/>
      <c r="T5" s="708" t="s">
        <v>122</v>
      </c>
      <c r="U5" s="708"/>
      <c r="V5" s="708" t="s">
        <v>518</v>
      </c>
      <c r="W5" s="708"/>
      <c r="X5" s="708" t="s">
        <v>1142</v>
      </c>
      <c r="Y5" s="708"/>
      <c r="Z5" s="708" t="s">
        <v>122</v>
      </c>
      <c r="AA5" s="708"/>
      <c r="AB5" s="708" t="s">
        <v>518</v>
      </c>
      <c r="AC5" s="708"/>
      <c r="AD5" s="708" t="s">
        <v>1142</v>
      </c>
      <c r="AE5" s="851"/>
    </row>
    <row r="6" spans="1:31" ht="16.5" customHeight="1">
      <c r="A6" s="768"/>
      <c r="B6" s="340" t="s">
        <v>242</v>
      </c>
      <c r="C6" s="340" t="s">
        <v>519</v>
      </c>
      <c r="D6" s="330" t="s">
        <v>242</v>
      </c>
      <c r="E6" s="340" t="s">
        <v>519</v>
      </c>
      <c r="F6" s="330" t="s">
        <v>242</v>
      </c>
      <c r="G6" s="340" t="s">
        <v>519</v>
      </c>
      <c r="H6" s="330" t="s">
        <v>242</v>
      </c>
      <c r="I6" s="340" t="s">
        <v>519</v>
      </c>
      <c r="J6" s="330" t="s">
        <v>242</v>
      </c>
      <c r="K6" s="340" t="s">
        <v>519</v>
      </c>
      <c r="L6" s="330" t="s">
        <v>242</v>
      </c>
      <c r="M6" s="340" t="s">
        <v>519</v>
      </c>
      <c r="N6" s="261" t="s">
        <v>242</v>
      </c>
      <c r="O6" s="341" t="s">
        <v>519</v>
      </c>
      <c r="Q6" s="768"/>
      <c r="R6" s="340" t="s">
        <v>242</v>
      </c>
      <c r="S6" s="340" t="s">
        <v>519</v>
      </c>
      <c r="T6" s="330" t="s">
        <v>242</v>
      </c>
      <c r="U6" s="340" t="s">
        <v>519</v>
      </c>
      <c r="V6" s="330" t="s">
        <v>242</v>
      </c>
      <c r="W6" s="340" t="s">
        <v>519</v>
      </c>
      <c r="X6" s="330" t="s">
        <v>242</v>
      </c>
      <c r="Y6" s="340" t="s">
        <v>519</v>
      </c>
      <c r="Z6" s="330" t="s">
        <v>242</v>
      </c>
      <c r="AA6" s="340" t="s">
        <v>519</v>
      </c>
      <c r="AB6" s="330" t="s">
        <v>242</v>
      </c>
      <c r="AC6" s="340" t="s">
        <v>519</v>
      </c>
      <c r="AD6" s="330" t="s">
        <v>242</v>
      </c>
      <c r="AE6" s="341" t="s">
        <v>519</v>
      </c>
    </row>
    <row r="7" spans="1:31" ht="15" customHeight="1">
      <c r="A7" s="714" t="s">
        <v>658</v>
      </c>
      <c r="B7" s="715"/>
      <c r="C7" s="715"/>
      <c r="D7" s="715"/>
      <c r="E7" s="715"/>
      <c r="F7" s="715"/>
      <c r="G7" s="715"/>
      <c r="H7" s="715"/>
      <c r="I7" s="715"/>
      <c r="J7" s="715"/>
      <c r="K7" s="715"/>
      <c r="L7" s="715"/>
      <c r="M7" s="715"/>
      <c r="N7" s="715"/>
      <c r="O7" s="716"/>
      <c r="Q7" s="714" t="s">
        <v>686</v>
      </c>
      <c r="R7" s="715"/>
      <c r="S7" s="715"/>
      <c r="T7" s="715"/>
      <c r="U7" s="715"/>
      <c r="V7" s="715"/>
      <c r="W7" s="715"/>
      <c r="X7" s="715"/>
      <c r="Y7" s="715"/>
      <c r="Z7" s="715"/>
      <c r="AA7" s="715"/>
      <c r="AB7" s="715"/>
      <c r="AC7" s="715"/>
      <c r="AD7" s="715"/>
      <c r="AE7" s="716"/>
    </row>
    <row r="8" spans="1:31" ht="15" customHeight="1">
      <c r="A8" s="352" t="s">
        <v>659</v>
      </c>
      <c r="B8" s="349">
        <f>D8+F8+H8+J8+L8+N8</f>
        <v>1</v>
      </c>
      <c r="C8" s="305" t="e">
        <f>IF(B$13&lt;&gt;0, (B8/B$13), "")</f>
        <v>#VALUE!</v>
      </c>
      <c r="D8" s="374">
        <f>COUNTIFS(AdultChild_PP,"Adult",Income_ReportEnd,"None",ExitStatusPP,"L",LastEpisode,"Y")</f>
        <v>0</v>
      </c>
      <c r="E8" s="305" t="str">
        <f>IF(D$13&lt;&gt;0, (D8/D$13), "")</f>
        <v/>
      </c>
      <c r="F8" s="374">
        <f>COUNTIFS(AdultChild_PP,"Child",Income_ReportEnd,"None",ExitStatusPP,"L",LastEpisode,"Y")</f>
        <v>0</v>
      </c>
      <c r="G8" s="305" t="str">
        <f>IF(F$13&lt;&gt;0, (F8/F$13), "")</f>
        <v/>
      </c>
      <c r="H8" s="374">
        <f>COUNTIFS(AdultChild_PP,"Unknown",Income_ReportEnd,"None",ExitStatusPP,"L",LastEpisode,"Y")</f>
        <v>0</v>
      </c>
      <c r="I8" s="305" t="str">
        <f>IF(H$13&lt;&gt;0, (H8/H$13), "")</f>
        <v/>
      </c>
      <c r="J8" s="374">
        <f>COUNTIFS(AdultChild_PP,"Adult",Income_ReportEnd,"None",ExitStatusPP,"S",LastEpisode,"Y")</f>
        <v>1</v>
      </c>
      <c r="K8" s="305">
        <f>IF(J$13&lt;&gt;0, (J8/J$13), "")</f>
        <v>1</v>
      </c>
      <c r="L8" s="374">
        <f>COUNTIFS(AdultChild_PP,"Child",Income_ReportEnd,"None",ExitStatusPP,"S",LastEpisode,"Y")</f>
        <v>0</v>
      </c>
      <c r="M8" s="305" t="str">
        <f>IF(L$13&lt;&gt;0, (L8/L$13), "")</f>
        <v/>
      </c>
      <c r="N8" s="374">
        <f>COUNTIFS(AdultChild_PP,"Unknown",Income_ReportEnd,"None",ExitStatusPP,"S",LastEpisode,"Y")</f>
        <v>0</v>
      </c>
      <c r="O8" s="353" t="str">
        <f>IF(N$13&lt;&gt;0, (N8/N$13), "")</f>
        <v/>
      </c>
      <c r="Q8" s="352" t="s">
        <v>687</v>
      </c>
      <c r="R8" s="349" t="e">
        <f>SUM(T8,V8,X8,Z8,AB8,AD8)</f>
        <v>#VALUE!</v>
      </c>
      <c r="S8" s="353" t="e">
        <f>IF(R$13&lt;&gt;0, (R8/R$13), "")</f>
        <v>#VALUE!</v>
      </c>
      <c r="T8" s="374" t="e">
        <f>COUNTIFS(AdultChild_PP,"Adult",[3]ProgramParticipation!$CP:$CP,"None",ExitStatusPP,"L",LastEpisode,"Y")</f>
        <v>#VALUE!</v>
      </c>
      <c r="U8" s="353" t="e">
        <f>IF(T$13&lt;&gt;0, (T8/T$13), "")</f>
        <v>#VALUE!</v>
      </c>
      <c r="V8" s="348" t="s">
        <v>171</v>
      </c>
      <c r="W8" s="353" t="str">
        <f>IF(V$13&lt;&gt;0, (V8/V$13), "")</f>
        <v/>
      </c>
      <c r="X8" s="348" t="s">
        <v>171</v>
      </c>
      <c r="Y8" s="353" t="str">
        <f>IF(X$13&lt;&gt;0, (X8/X$13), "")</f>
        <v/>
      </c>
      <c r="Z8" s="348" t="s">
        <v>170</v>
      </c>
      <c r="AA8" s="353" t="str">
        <f>IF(Z$13&lt;&gt;0, (Z8/Z$13), "")</f>
        <v/>
      </c>
      <c r="AB8" s="348" t="s">
        <v>171</v>
      </c>
      <c r="AC8" s="353" t="str">
        <f>IF(AB$13&lt;&gt;0, (AB8/AB$13), "")</f>
        <v/>
      </c>
      <c r="AD8" s="348" t="s">
        <v>171</v>
      </c>
      <c r="AE8" s="353" t="str">
        <f>IF(AD$13&lt;&gt;0, (AD8/AD$13), "")</f>
        <v/>
      </c>
    </row>
    <row r="9" spans="1:31" ht="15" customHeight="1">
      <c r="A9" s="873" t="s">
        <v>660</v>
      </c>
      <c r="B9" s="874" t="e">
        <f>D9+F9+H9+J9+L9+N9</f>
        <v>#VALUE!</v>
      </c>
      <c r="C9" s="875" t="e">
        <f t="shared" ref="C9:C12" si="0">IF(B$13&lt;&gt;0, (B9/B$13), "")</f>
        <v>#VALUE!</v>
      </c>
      <c r="D9" s="877" t="s">
        <v>128</v>
      </c>
      <c r="E9" s="875" t="str">
        <f t="shared" ref="E9:E12" si="1">IF(D$13&lt;&gt;0, (D9/D$13), "")</f>
        <v/>
      </c>
      <c r="F9" s="877" t="s">
        <v>129</v>
      </c>
      <c r="G9" s="875" t="str">
        <f t="shared" ref="G9:G12" si="2">IF(F$13&lt;&gt;0, (F9/F$13), "")</f>
        <v/>
      </c>
      <c r="H9" s="878"/>
      <c r="I9" s="875" t="str">
        <f t="shared" ref="I9:I12" si="3">IF(H$13&lt;&gt;0, (H9/H$13), "")</f>
        <v/>
      </c>
      <c r="J9" s="878"/>
      <c r="K9" s="875">
        <f t="shared" ref="K9:K12" si="4">IF(J$13&lt;&gt;0, (J9/J$13), "")</f>
        <v>0</v>
      </c>
      <c r="L9" s="878"/>
      <c r="M9" s="875" t="str">
        <f t="shared" ref="M9:M12" si="5">IF(L$13&lt;&gt;0, (L9/L$13), "")</f>
        <v/>
      </c>
      <c r="N9" s="878"/>
      <c r="O9" s="830" t="str">
        <f t="shared" ref="O9:O12" si="6">IF(N$13&lt;&gt;0, (N9/N$13), "")</f>
        <v/>
      </c>
      <c r="Q9" s="881" t="s">
        <v>688</v>
      </c>
      <c r="R9" s="879">
        <f t="shared" ref="R9:R12" si="7">SUM(T9,V9,X9,Z9,AB9,AD9)</f>
        <v>0</v>
      </c>
      <c r="S9" s="830" t="e">
        <f t="shared" ref="S9:U12" si="8">IF(R$13&lt;&gt;0, (R9/R$13), "")</f>
        <v>#VALUE!</v>
      </c>
      <c r="T9" s="834" t="s">
        <v>177</v>
      </c>
      <c r="U9" s="830" t="e">
        <f t="shared" si="8"/>
        <v>#VALUE!</v>
      </c>
      <c r="V9" s="834" t="s">
        <v>178</v>
      </c>
      <c r="W9" s="830" t="str">
        <f t="shared" ref="W9" si="9">IF(V$13&lt;&gt;0, (V9/V$13), "")</f>
        <v/>
      </c>
      <c r="X9" s="834" t="s">
        <v>178</v>
      </c>
      <c r="Y9" s="830" t="str">
        <f t="shared" ref="Y9" si="10">IF(X$13&lt;&gt;0, (X9/X$13), "")</f>
        <v/>
      </c>
      <c r="Z9" s="834" t="s">
        <v>177</v>
      </c>
      <c r="AA9" s="830" t="str">
        <f t="shared" ref="AA9" si="11">IF(Z$13&lt;&gt;0, (Z9/Z$13), "")</f>
        <v/>
      </c>
      <c r="AB9" s="834" t="s">
        <v>178</v>
      </c>
      <c r="AC9" s="830" t="str">
        <f t="shared" ref="AC9" si="12">IF(AB$13&lt;&gt;0, (AB9/AB$13), "")</f>
        <v/>
      </c>
      <c r="AD9" s="834" t="s">
        <v>178</v>
      </c>
      <c r="AE9" s="830" t="str">
        <f t="shared" ref="AE9" si="13">IF(AD$13&lt;&gt;0, (AD9/AD$13), "")</f>
        <v/>
      </c>
    </row>
    <row r="10" spans="1:31" ht="15" customHeight="1">
      <c r="A10" s="873"/>
      <c r="B10" s="874"/>
      <c r="C10" s="876"/>
      <c r="D10" s="877"/>
      <c r="E10" s="876"/>
      <c r="F10" s="877"/>
      <c r="G10" s="876"/>
      <c r="H10" s="739"/>
      <c r="I10" s="876"/>
      <c r="J10" s="739"/>
      <c r="K10" s="876"/>
      <c r="L10" s="739"/>
      <c r="M10" s="876"/>
      <c r="N10" s="739"/>
      <c r="O10" s="831"/>
      <c r="Q10" s="882"/>
      <c r="R10" s="880"/>
      <c r="S10" s="831"/>
      <c r="T10" s="835"/>
      <c r="U10" s="831"/>
      <c r="V10" s="835"/>
      <c r="W10" s="831"/>
      <c r="X10" s="835"/>
      <c r="Y10" s="831"/>
      <c r="Z10" s="835"/>
      <c r="AA10" s="831"/>
      <c r="AB10" s="835"/>
      <c r="AC10" s="831"/>
      <c r="AD10" s="835"/>
      <c r="AE10" s="831"/>
    </row>
    <row r="11" spans="1:31" ht="15" customHeight="1">
      <c r="A11" s="352" t="s">
        <v>436</v>
      </c>
      <c r="B11" s="349" t="e">
        <f>D11+F11+H11+J11+L11+N11</f>
        <v>#VALUE!</v>
      </c>
      <c r="C11" s="305" t="e">
        <f t="shared" si="0"/>
        <v>#VALUE!</v>
      </c>
      <c r="D11" s="348" t="s">
        <v>132</v>
      </c>
      <c r="E11" s="305" t="str">
        <f t="shared" si="1"/>
        <v/>
      </c>
      <c r="F11" s="348" t="s">
        <v>133</v>
      </c>
      <c r="G11" s="305" t="str">
        <f t="shared" si="2"/>
        <v/>
      </c>
      <c r="H11" s="330"/>
      <c r="I11" s="305" t="str">
        <f t="shared" si="3"/>
        <v/>
      </c>
      <c r="J11" s="330"/>
      <c r="K11" s="305">
        <f t="shared" si="4"/>
        <v>0</v>
      </c>
      <c r="L11" s="330"/>
      <c r="M11" s="305" t="str">
        <f t="shared" si="5"/>
        <v/>
      </c>
      <c r="N11" s="330"/>
      <c r="O11" s="353" t="str">
        <f t="shared" si="6"/>
        <v/>
      </c>
      <c r="Q11" s="352" t="s">
        <v>436</v>
      </c>
      <c r="R11" s="349">
        <f t="shared" si="7"/>
        <v>0</v>
      </c>
      <c r="S11" s="353" t="e">
        <f t="shared" si="8"/>
        <v>#VALUE!</v>
      </c>
      <c r="T11" s="348" t="s">
        <v>181</v>
      </c>
      <c r="U11" s="353" t="e">
        <f t="shared" si="8"/>
        <v>#VALUE!</v>
      </c>
      <c r="V11" s="348" t="s">
        <v>182</v>
      </c>
      <c r="W11" s="353" t="str">
        <f t="shared" ref="W11:W12" si="14">IF(V$13&lt;&gt;0, (V11/V$13), "")</f>
        <v/>
      </c>
      <c r="X11" s="348" t="s">
        <v>182</v>
      </c>
      <c r="Y11" s="353" t="str">
        <f t="shared" ref="Y11:Y12" si="15">IF(X$13&lt;&gt;0, (X11/X$13), "")</f>
        <v/>
      </c>
      <c r="Z11" s="348" t="s">
        <v>181</v>
      </c>
      <c r="AA11" s="353" t="str">
        <f t="shared" ref="AA11:AA12" si="16">IF(Z$13&lt;&gt;0, (Z11/Z$13), "")</f>
        <v/>
      </c>
      <c r="AB11" s="348" t="s">
        <v>182</v>
      </c>
      <c r="AC11" s="353" t="str">
        <f t="shared" ref="AC11:AC12" si="17">IF(AB$13&lt;&gt;0, (AB11/AB$13), "")</f>
        <v/>
      </c>
      <c r="AD11" s="348" t="s">
        <v>182</v>
      </c>
      <c r="AE11" s="353" t="str">
        <f t="shared" ref="AE11:AE12" si="18">IF(AD$13&lt;&gt;0, (AD11/AD$13), "")</f>
        <v/>
      </c>
    </row>
    <row r="12" spans="1:31" ht="15" customHeight="1">
      <c r="A12" s="352" t="s">
        <v>437</v>
      </c>
      <c r="B12" s="349" t="e">
        <f>D12+F12+H12+J12+L12+N12</f>
        <v>#VALUE!</v>
      </c>
      <c r="C12" s="305" t="e">
        <f t="shared" si="0"/>
        <v>#VALUE!</v>
      </c>
      <c r="D12" s="348" t="s">
        <v>136</v>
      </c>
      <c r="E12" s="305" t="str">
        <f t="shared" si="1"/>
        <v/>
      </c>
      <c r="F12" s="348" t="s">
        <v>137</v>
      </c>
      <c r="G12" s="305" t="str">
        <f t="shared" si="2"/>
        <v/>
      </c>
      <c r="H12" s="330"/>
      <c r="I12" s="305" t="str">
        <f t="shared" si="3"/>
        <v/>
      </c>
      <c r="J12" s="330"/>
      <c r="K12" s="305">
        <f t="shared" si="4"/>
        <v>0</v>
      </c>
      <c r="L12" s="330"/>
      <c r="M12" s="305" t="str">
        <f t="shared" si="5"/>
        <v/>
      </c>
      <c r="N12" s="330"/>
      <c r="O12" s="353" t="str">
        <f t="shared" si="6"/>
        <v/>
      </c>
      <c r="Q12" s="352" t="s">
        <v>437</v>
      </c>
      <c r="R12" s="349">
        <f t="shared" si="7"/>
        <v>0</v>
      </c>
      <c r="S12" s="353" t="e">
        <f t="shared" si="8"/>
        <v>#VALUE!</v>
      </c>
      <c r="T12" s="348" t="s">
        <v>185</v>
      </c>
      <c r="U12" s="353" t="e">
        <f t="shared" si="8"/>
        <v>#VALUE!</v>
      </c>
      <c r="V12" s="348" t="s">
        <v>186</v>
      </c>
      <c r="W12" s="353" t="str">
        <f t="shared" si="14"/>
        <v/>
      </c>
      <c r="X12" s="348" t="s">
        <v>186</v>
      </c>
      <c r="Y12" s="353" t="str">
        <f t="shared" si="15"/>
        <v/>
      </c>
      <c r="Z12" s="348" t="s">
        <v>185</v>
      </c>
      <c r="AA12" s="353" t="str">
        <f t="shared" si="16"/>
        <v/>
      </c>
      <c r="AB12" s="348" t="s">
        <v>186</v>
      </c>
      <c r="AC12" s="353" t="str">
        <f t="shared" si="17"/>
        <v/>
      </c>
      <c r="AD12" s="348" t="s">
        <v>186</v>
      </c>
      <c r="AE12" s="353" t="str">
        <f t="shared" si="18"/>
        <v/>
      </c>
    </row>
    <row r="13" spans="1:31" ht="15" customHeight="1">
      <c r="A13" s="215" t="s">
        <v>116</v>
      </c>
      <c r="B13" s="216" t="e">
        <f>SUM(B8:B12)</f>
        <v>#VALUE!</v>
      </c>
      <c r="C13" s="375">
        <v>1</v>
      </c>
      <c r="D13" s="216">
        <f>SUM(D8:D12)</f>
        <v>0</v>
      </c>
      <c r="E13" s="375">
        <v>1</v>
      </c>
      <c r="F13" s="216">
        <f>SUM(F8:F12)</f>
        <v>0</v>
      </c>
      <c r="G13" s="375">
        <v>1</v>
      </c>
      <c r="H13" s="216">
        <f>SUM(H8:H12)</f>
        <v>0</v>
      </c>
      <c r="I13" s="375">
        <v>1</v>
      </c>
      <c r="J13" s="216">
        <f>SUM(J8:J12)</f>
        <v>1</v>
      </c>
      <c r="K13" s="375">
        <v>1</v>
      </c>
      <c r="L13" s="216">
        <f>SUM(L8:L12)</f>
        <v>0</v>
      </c>
      <c r="M13" s="375">
        <v>1</v>
      </c>
      <c r="N13" s="216">
        <f>SUM(N8:N12)</f>
        <v>0</v>
      </c>
      <c r="O13" s="376">
        <v>1</v>
      </c>
      <c r="Q13" s="215" t="s">
        <v>116</v>
      </c>
      <c r="R13" s="346" t="e">
        <f>SUM(R8:R12)</f>
        <v>#VALUE!</v>
      </c>
      <c r="S13" s="375">
        <v>1</v>
      </c>
      <c r="T13" s="346" t="e">
        <f>SUM(T8:T12)</f>
        <v>#VALUE!</v>
      </c>
      <c r="U13" s="375">
        <v>1</v>
      </c>
      <c r="V13" s="346">
        <f>SUM(V8:V12)</f>
        <v>0</v>
      </c>
      <c r="W13" s="375">
        <v>1</v>
      </c>
      <c r="X13" s="346">
        <f>SUM(X8:X12)</f>
        <v>0</v>
      </c>
      <c r="Y13" s="375">
        <v>1</v>
      </c>
      <c r="Z13" s="346">
        <f>SUM(Z8:Z12)</f>
        <v>0</v>
      </c>
      <c r="AA13" s="375">
        <v>1</v>
      </c>
      <c r="AB13" s="346">
        <f>SUM(AB8:AB12)</f>
        <v>0</v>
      </c>
      <c r="AC13" s="375">
        <v>1</v>
      </c>
      <c r="AD13" s="346">
        <f>SUM(AD8:AD12)</f>
        <v>0</v>
      </c>
      <c r="AE13" s="376">
        <v>1</v>
      </c>
    </row>
    <row r="14" spans="1:31" ht="23.25" customHeight="1">
      <c r="A14" s="769" t="s">
        <v>661</v>
      </c>
      <c r="B14" s="770"/>
      <c r="C14" s="770"/>
      <c r="D14" s="770"/>
      <c r="E14" s="770"/>
      <c r="F14" s="770"/>
      <c r="G14" s="770"/>
      <c r="H14" s="770"/>
      <c r="I14" s="770"/>
      <c r="J14" s="770"/>
      <c r="K14" s="770"/>
      <c r="L14" s="770"/>
      <c r="M14" s="770"/>
      <c r="N14" s="770"/>
      <c r="O14" s="771"/>
      <c r="Q14" s="769" t="s">
        <v>689</v>
      </c>
      <c r="R14" s="770"/>
      <c r="S14" s="770"/>
      <c r="T14" s="770"/>
      <c r="U14" s="770"/>
      <c r="V14" s="770"/>
      <c r="W14" s="770"/>
      <c r="X14" s="770"/>
      <c r="Y14" s="770"/>
      <c r="Z14" s="770"/>
      <c r="AA14" s="770"/>
      <c r="AB14" s="770"/>
      <c r="AC14" s="770"/>
      <c r="AD14" s="770"/>
      <c r="AE14" s="771"/>
    </row>
    <row r="15" spans="1:31" ht="15" customHeight="1">
      <c r="A15" s="861" t="s">
        <v>662</v>
      </c>
      <c r="B15" s="859" t="e">
        <f t="shared" ref="B15:B34" si="19">D15+F15+H15+J15+L15+N15</f>
        <v>#VALUE!</v>
      </c>
      <c r="C15" s="842" t="e">
        <f t="shared" ref="C15:C34" si="20">IF(B$13&lt;&gt;0, (B15/B$13), "")</f>
        <v>#VALUE!</v>
      </c>
      <c r="D15" s="871" t="e">
        <f>COUNTIFS([3]IncomeBenefits!$U:$U,"Adult",[3]IncomeBenefits!$T:$T,"L",[3]IncomeBenefits!$F:$F,1,[3]IncomeBenefits!$G:$G,1,[3]IncomeBenefits!$W:$W,"Y")</f>
        <v>#VALUE!</v>
      </c>
      <c r="E15" s="842" t="str">
        <f t="shared" ref="E15:E34" si="21">IF(D$13&lt;&gt;0, (D15/D$13), "")</f>
        <v/>
      </c>
      <c r="F15" s="871" t="e">
        <f>COUNTIFS([3]IncomeBenefits!$U:$U,"Child",[3]IncomeBenefits!$T:$T,"L",[3]IncomeBenefits!$F:$F,1,[3]IncomeBenefits!$G:$G,1,[3]IncomeBenefits!$W:$W,"Y")</f>
        <v>#VALUE!</v>
      </c>
      <c r="G15" s="842" t="str">
        <f t="shared" ref="G15:G34" si="22">IF(F$13&lt;&gt;0, (F15/F$13), "")</f>
        <v/>
      </c>
      <c r="H15" s="871" t="e">
        <f>COUNTIFS([3]IncomeBenefits!$U:$U,"Unknown",[3]IncomeBenefits!$T:$T,"L",[3]IncomeBenefits!$F:$F,1,[3]IncomeBenefits!$G:$G,1,[3]IncomeBenefits!$W:$W,"Y")</f>
        <v>#VALUE!</v>
      </c>
      <c r="I15" s="842" t="str">
        <f t="shared" ref="I15:I34" si="23">IF(H$13&lt;&gt;0, (H15/H$13), "")</f>
        <v/>
      </c>
      <c r="J15" s="871" t="e">
        <f>COUNTIFS([3]IncomeBenefits!$U:$U,"Adult",[3]IncomeBenefits!$T:$T,"S",[3]IncomeBenefits!$F:$F,1,[3]IncomeBenefits!$G:$G,1,[3]IncomeBenefits!$W:$W,"Y")</f>
        <v>#VALUE!</v>
      </c>
      <c r="K15" s="842" t="e">
        <f t="shared" ref="K15:K34" si="24">IF(J$13&lt;&gt;0, (J15/J$13), "")</f>
        <v>#VALUE!</v>
      </c>
      <c r="L15" s="871" t="e">
        <f>COUNTIFS([3]IncomeBenefits!$U:$U,"Child",[3]IncomeBenefits!$T:$T,"S",[3]IncomeBenefits!$F:$F,1,[3]IncomeBenefits!$G:$G,1,[3]IncomeBenefits!$W:$W,"Y")</f>
        <v>#VALUE!</v>
      </c>
      <c r="M15" s="842" t="str">
        <f t="shared" ref="M15:M34" si="25">IF(L$13&lt;&gt;0, (L15/L$13), "")</f>
        <v/>
      </c>
      <c r="N15" s="871" t="e">
        <f>COUNTIFS([3]IncomeBenefits!$U:$U,"Unknown",[3]IncomeBenefits!$T:$T,"S",[3]IncomeBenefits!$F:$F,1,[3]IncomeBenefits!$G:$G,1,[3]IncomeBenefits!$W:$W,"Y")</f>
        <v>#VALUE!</v>
      </c>
      <c r="O15" s="840" t="str">
        <f t="shared" ref="O15:O34" si="26">IF(N$13&lt;&gt;0, (N15/N$13), "")</f>
        <v/>
      </c>
      <c r="Q15" s="883" t="s">
        <v>690</v>
      </c>
      <c r="R15" s="856" t="e">
        <f t="shared" ref="R15:R38" si="27">SUM(T15,V15,X15,Z15,AB15,AD15)</f>
        <v>#VALUE!</v>
      </c>
      <c r="S15" s="830" t="e">
        <f t="shared" ref="S15" si="28">IF(R$13&lt;&gt;0, (R15/R$13), "")</f>
        <v>#VALUE!</v>
      </c>
      <c r="T15" s="832" t="e">
        <f>COUNTIFS([3]IncomeBenefits!$U:$U,"Adult",[3]IncomeBenefits!$T:$T,"L",[3]IncomeBenefits!$F:$F,2,[3]IncomeBenefits!$G:$G,1,[3]IncomeBenefits!$W:$W,"Y")</f>
        <v>#VALUE!</v>
      </c>
      <c r="U15" s="830" t="e">
        <f t="shared" ref="U15" si="29">IF(T$13&lt;&gt;0, (T15/T$13), "")</f>
        <v>#VALUE!</v>
      </c>
      <c r="V15" s="832" t="s">
        <v>528</v>
      </c>
      <c r="W15" s="830" t="str">
        <f t="shared" ref="W15:W38" si="30">IF(V$13&lt;&gt;0, (V15/V$13), "")</f>
        <v/>
      </c>
      <c r="X15" s="832" t="s">
        <v>528</v>
      </c>
      <c r="Y15" s="830" t="str">
        <f t="shared" ref="Y15:Y38" si="31">IF(X$13&lt;&gt;0, (X15/X$13), "")</f>
        <v/>
      </c>
      <c r="Z15" s="832" t="e">
        <f>COUNTIFS([3]IncomeBenefits!$U:$U,"Adult",[3]IncomeBenefits!$T:$T,"S",[3]IncomeBenefits!$F:$F,2,[3]IncomeBenefits!$G:$G,1,[3]IncomeBenefits!$W:$W,"Y")</f>
        <v>#VALUE!</v>
      </c>
      <c r="AA15" s="830" t="str">
        <f t="shared" ref="AA15:AA38" si="32">IF(Z$13&lt;&gt;0, (Z15/Z$13), "")</f>
        <v/>
      </c>
      <c r="AB15" s="832" t="s">
        <v>528</v>
      </c>
      <c r="AC15" s="830" t="str">
        <f t="shared" ref="AC15:AC38" si="33">IF(AB$13&lt;&gt;0, (AB15/AB$13), "")</f>
        <v/>
      </c>
      <c r="AD15" s="832" t="s">
        <v>528</v>
      </c>
      <c r="AE15" s="830" t="str">
        <f t="shared" ref="AE15:AE38" si="34">IF(AD$13&lt;&gt;0, (AD15/AD$13), "")</f>
        <v/>
      </c>
    </row>
    <row r="16" spans="1:31" ht="15" customHeight="1">
      <c r="A16" s="862"/>
      <c r="B16" s="860"/>
      <c r="C16" s="843"/>
      <c r="D16" s="872"/>
      <c r="E16" s="843"/>
      <c r="F16" s="872"/>
      <c r="G16" s="843"/>
      <c r="H16" s="872"/>
      <c r="I16" s="843"/>
      <c r="J16" s="872"/>
      <c r="K16" s="843"/>
      <c r="L16" s="872"/>
      <c r="M16" s="843"/>
      <c r="N16" s="872"/>
      <c r="O16" s="841"/>
      <c r="Q16" s="884"/>
      <c r="R16" s="857"/>
      <c r="S16" s="836"/>
      <c r="T16" s="837"/>
      <c r="U16" s="836"/>
      <c r="V16" s="837"/>
      <c r="W16" s="836"/>
      <c r="X16" s="837"/>
      <c r="Y16" s="836"/>
      <c r="Z16" s="837"/>
      <c r="AA16" s="836"/>
      <c r="AB16" s="837"/>
      <c r="AC16" s="836"/>
      <c r="AD16" s="837"/>
      <c r="AE16" s="836"/>
    </row>
    <row r="17" spans="1:31" ht="15" customHeight="1">
      <c r="A17" s="347" t="s">
        <v>663</v>
      </c>
      <c r="B17" s="235" t="e">
        <f t="shared" si="19"/>
        <v>#VALUE!</v>
      </c>
      <c r="C17" s="377" t="e">
        <f t="shared" si="20"/>
        <v>#VALUE!</v>
      </c>
      <c r="D17" s="351" t="s">
        <v>148</v>
      </c>
      <c r="E17" s="378" t="str">
        <f t="shared" si="21"/>
        <v/>
      </c>
      <c r="F17" s="351" t="s">
        <v>149</v>
      </c>
      <c r="G17" s="378" t="str">
        <f t="shared" si="22"/>
        <v/>
      </c>
      <c r="H17" s="327"/>
      <c r="I17" s="378" t="str">
        <f t="shared" si="23"/>
        <v/>
      </c>
      <c r="J17" s="327"/>
      <c r="K17" s="378">
        <f t="shared" si="24"/>
        <v>0</v>
      </c>
      <c r="L17" s="327"/>
      <c r="M17" s="378" t="str">
        <f t="shared" si="25"/>
        <v/>
      </c>
      <c r="N17" s="327"/>
      <c r="O17" s="379" t="str">
        <f t="shared" si="26"/>
        <v/>
      </c>
      <c r="Q17" s="885"/>
      <c r="R17" s="858"/>
      <c r="S17" s="831"/>
      <c r="T17" s="833"/>
      <c r="U17" s="831"/>
      <c r="V17" s="833"/>
      <c r="W17" s="831"/>
      <c r="X17" s="833"/>
      <c r="Y17" s="831"/>
      <c r="Z17" s="833"/>
      <c r="AA17" s="831"/>
      <c r="AB17" s="833"/>
      <c r="AC17" s="831"/>
      <c r="AD17" s="833"/>
      <c r="AE17" s="831"/>
    </row>
    <row r="18" spans="1:31" ht="15" customHeight="1">
      <c r="A18" s="347" t="s">
        <v>1160</v>
      </c>
      <c r="B18" s="235" t="e">
        <f t="shared" si="19"/>
        <v>#VALUE!</v>
      </c>
      <c r="C18" s="377" t="e">
        <f t="shared" si="20"/>
        <v>#VALUE!</v>
      </c>
      <c r="D18" s="351" t="s">
        <v>152</v>
      </c>
      <c r="E18" s="378" t="str">
        <f t="shared" si="21"/>
        <v/>
      </c>
      <c r="F18" s="351" t="s">
        <v>153</v>
      </c>
      <c r="G18" s="378" t="str">
        <f t="shared" si="22"/>
        <v/>
      </c>
      <c r="H18" s="327"/>
      <c r="I18" s="378" t="str">
        <f t="shared" si="23"/>
        <v/>
      </c>
      <c r="J18" s="327"/>
      <c r="K18" s="378">
        <f t="shared" si="24"/>
        <v>0</v>
      </c>
      <c r="L18" s="327"/>
      <c r="M18" s="378" t="str">
        <f t="shared" si="25"/>
        <v/>
      </c>
      <c r="N18" s="327"/>
      <c r="O18" s="379" t="str">
        <f t="shared" si="26"/>
        <v/>
      </c>
      <c r="Q18" s="855" t="s">
        <v>691</v>
      </c>
      <c r="R18" s="856">
        <f t="shared" si="27"/>
        <v>0</v>
      </c>
      <c r="S18" s="830" t="e">
        <f t="shared" ref="S18" si="35">IF(R$13&lt;&gt;0, (R18/R$13), "")</f>
        <v>#VALUE!</v>
      </c>
      <c r="T18" s="832" t="s">
        <v>530</v>
      </c>
      <c r="U18" s="830" t="e">
        <f t="shared" ref="U18" si="36">IF(T$13&lt;&gt;0, (T18/T$13), "")</f>
        <v>#VALUE!</v>
      </c>
      <c r="V18" s="832" t="s">
        <v>531</v>
      </c>
      <c r="W18" s="830" t="str">
        <f t="shared" si="30"/>
        <v/>
      </c>
      <c r="X18" s="832" t="s">
        <v>531</v>
      </c>
      <c r="Y18" s="830" t="str">
        <f t="shared" si="31"/>
        <v/>
      </c>
      <c r="Z18" s="832" t="s">
        <v>530</v>
      </c>
      <c r="AA18" s="830" t="str">
        <f t="shared" si="32"/>
        <v/>
      </c>
      <c r="AB18" s="832" t="s">
        <v>531</v>
      </c>
      <c r="AC18" s="830" t="str">
        <f t="shared" si="33"/>
        <v/>
      </c>
      <c r="AD18" s="832" t="s">
        <v>531</v>
      </c>
      <c r="AE18" s="830" t="str">
        <f t="shared" si="34"/>
        <v/>
      </c>
    </row>
    <row r="19" spans="1:31" ht="15" customHeight="1">
      <c r="A19" s="347" t="s">
        <v>1161</v>
      </c>
      <c r="B19" s="235" t="e">
        <f t="shared" si="19"/>
        <v>#VALUE!</v>
      </c>
      <c r="C19" s="377" t="e">
        <f t="shared" si="20"/>
        <v>#VALUE!</v>
      </c>
      <c r="D19" s="351" t="s">
        <v>156</v>
      </c>
      <c r="E19" s="378" t="str">
        <f t="shared" si="21"/>
        <v/>
      </c>
      <c r="F19" s="351" t="s">
        <v>157</v>
      </c>
      <c r="G19" s="378" t="str">
        <f t="shared" si="22"/>
        <v/>
      </c>
      <c r="H19" s="327"/>
      <c r="I19" s="378" t="str">
        <f t="shared" si="23"/>
        <v/>
      </c>
      <c r="J19" s="327"/>
      <c r="K19" s="378">
        <f t="shared" si="24"/>
        <v>0</v>
      </c>
      <c r="L19" s="327"/>
      <c r="M19" s="378" t="str">
        <f t="shared" si="25"/>
        <v/>
      </c>
      <c r="N19" s="327"/>
      <c r="O19" s="379" t="str">
        <f t="shared" si="26"/>
        <v/>
      </c>
      <c r="Q19" s="855"/>
      <c r="R19" s="858"/>
      <c r="S19" s="831"/>
      <c r="T19" s="833"/>
      <c r="U19" s="831"/>
      <c r="V19" s="833"/>
      <c r="W19" s="831"/>
      <c r="X19" s="833"/>
      <c r="Y19" s="831"/>
      <c r="Z19" s="833"/>
      <c r="AA19" s="831"/>
      <c r="AB19" s="833"/>
      <c r="AC19" s="831"/>
      <c r="AD19" s="833"/>
      <c r="AE19" s="831"/>
    </row>
    <row r="20" spans="1:31" ht="15" customHeight="1">
      <c r="A20" s="347" t="s">
        <v>664</v>
      </c>
      <c r="B20" s="235" t="e">
        <f t="shared" si="19"/>
        <v>#VALUE!</v>
      </c>
      <c r="C20" s="377" t="e">
        <f t="shared" si="20"/>
        <v>#VALUE!</v>
      </c>
      <c r="D20" s="351" t="s">
        <v>160</v>
      </c>
      <c r="E20" s="378" t="str">
        <f t="shared" si="21"/>
        <v/>
      </c>
      <c r="F20" s="351" t="s">
        <v>484</v>
      </c>
      <c r="G20" s="378" t="str">
        <f t="shared" si="22"/>
        <v/>
      </c>
      <c r="H20" s="327"/>
      <c r="I20" s="378" t="str">
        <f t="shared" si="23"/>
        <v/>
      </c>
      <c r="J20" s="327"/>
      <c r="K20" s="378">
        <f t="shared" si="24"/>
        <v>0</v>
      </c>
      <c r="L20" s="327"/>
      <c r="M20" s="378" t="str">
        <f t="shared" si="25"/>
        <v/>
      </c>
      <c r="N20" s="327"/>
      <c r="O20" s="379" t="str">
        <f t="shared" si="26"/>
        <v/>
      </c>
      <c r="Q20" s="855" t="s">
        <v>692</v>
      </c>
      <c r="R20" s="856">
        <f t="shared" si="27"/>
        <v>0</v>
      </c>
      <c r="S20" s="830" t="e">
        <f t="shared" ref="S20" si="37">IF(R$13&lt;&gt;0, (R20/R$13), "")</f>
        <v>#VALUE!</v>
      </c>
      <c r="T20" s="832" t="s">
        <v>632</v>
      </c>
      <c r="U20" s="830" t="e">
        <f t="shared" ref="U20" si="38">IF(T$13&lt;&gt;0, (T20/T$13), "")</f>
        <v>#VALUE!</v>
      </c>
      <c r="V20" s="832" t="s">
        <v>633</v>
      </c>
      <c r="W20" s="830" t="str">
        <f t="shared" si="30"/>
        <v/>
      </c>
      <c r="X20" s="832" t="s">
        <v>633</v>
      </c>
      <c r="Y20" s="830" t="str">
        <f t="shared" si="31"/>
        <v/>
      </c>
      <c r="Z20" s="832" t="s">
        <v>632</v>
      </c>
      <c r="AA20" s="830" t="str">
        <f t="shared" si="32"/>
        <v/>
      </c>
      <c r="AB20" s="832" t="s">
        <v>633</v>
      </c>
      <c r="AC20" s="830" t="str">
        <f t="shared" si="33"/>
        <v/>
      </c>
      <c r="AD20" s="832" t="s">
        <v>633</v>
      </c>
      <c r="AE20" s="830" t="str">
        <f t="shared" si="34"/>
        <v/>
      </c>
    </row>
    <row r="21" spans="1:31" ht="15" customHeight="1">
      <c r="A21" s="347" t="s">
        <v>665</v>
      </c>
      <c r="B21" s="235" t="e">
        <f t="shared" si="19"/>
        <v>#VALUE!</v>
      </c>
      <c r="C21" s="377" t="e">
        <f t="shared" si="20"/>
        <v>#VALUE!</v>
      </c>
      <c r="D21" s="351" t="s">
        <v>488</v>
      </c>
      <c r="E21" s="378" t="str">
        <f t="shared" si="21"/>
        <v/>
      </c>
      <c r="F21" s="351" t="s">
        <v>489</v>
      </c>
      <c r="G21" s="378" t="str">
        <f t="shared" si="22"/>
        <v/>
      </c>
      <c r="H21" s="327"/>
      <c r="I21" s="378" t="str">
        <f t="shared" si="23"/>
        <v/>
      </c>
      <c r="J21" s="327"/>
      <c r="K21" s="378">
        <f t="shared" si="24"/>
        <v>0</v>
      </c>
      <c r="L21" s="327"/>
      <c r="M21" s="378" t="str">
        <f t="shared" si="25"/>
        <v/>
      </c>
      <c r="N21" s="327"/>
      <c r="O21" s="379" t="str">
        <f t="shared" si="26"/>
        <v/>
      </c>
      <c r="Q21" s="855"/>
      <c r="R21" s="858"/>
      <c r="S21" s="831"/>
      <c r="T21" s="833"/>
      <c r="U21" s="831"/>
      <c r="V21" s="833"/>
      <c r="W21" s="831"/>
      <c r="X21" s="833"/>
      <c r="Y21" s="831"/>
      <c r="Z21" s="833"/>
      <c r="AA21" s="831"/>
      <c r="AB21" s="833"/>
      <c r="AC21" s="831"/>
      <c r="AD21" s="833"/>
      <c r="AE21" s="831"/>
    </row>
    <row r="22" spans="1:31" ht="15" customHeight="1">
      <c r="A22" s="347" t="s">
        <v>666</v>
      </c>
      <c r="B22" s="235" t="e">
        <f t="shared" si="19"/>
        <v>#VALUE!</v>
      </c>
      <c r="C22" s="377" t="e">
        <f t="shared" si="20"/>
        <v>#VALUE!</v>
      </c>
      <c r="D22" s="351" t="s">
        <v>493</v>
      </c>
      <c r="E22" s="378" t="str">
        <f t="shared" si="21"/>
        <v/>
      </c>
      <c r="F22" s="351" t="s">
        <v>494</v>
      </c>
      <c r="G22" s="378" t="str">
        <f t="shared" si="22"/>
        <v/>
      </c>
      <c r="H22" s="327"/>
      <c r="I22" s="378" t="str">
        <f t="shared" si="23"/>
        <v/>
      </c>
      <c r="J22" s="327"/>
      <c r="K22" s="378">
        <f t="shared" si="24"/>
        <v>0</v>
      </c>
      <c r="L22" s="327"/>
      <c r="M22" s="378" t="str">
        <f t="shared" si="25"/>
        <v/>
      </c>
      <c r="N22" s="327"/>
      <c r="O22" s="379" t="str">
        <f t="shared" si="26"/>
        <v/>
      </c>
      <c r="Q22" s="855" t="s">
        <v>693</v>
      </c>
      <c r="R22" s="856">
        <f t="shared" si="27"/>
        <v>0</v>
      </c>
      <c r="S22" s="830" t="e">
        <f t="shared" ref="S22" si="39">IF(R$13&lt;&gt;0, (R22/R$13), "")</f>
        <v>#VALUE!</v>
      </c>
      <c r="T22" s="832" t="s">
        <v>636</v>
      </c>
      <c r="U22" s="830" t="e">
        <f t="shared" ref="U22" si="40">IF(T$13&lt;&gt;0, (T22/T$13), "")</f>
        <v>#VALUE!</v>
      </c>
      <c r="V22" s="832" t="s">
        <v>637</v>
      </c>
      <c r="W22" s="830" t="str">
        <f t="shared" si="30"/>
        <v/>
      </c>
      <c r="X22" s="832" t="s">
        <v>637</v>
      </c>
      <c r="Y22" s="830" t="str">
        <f t="shared" si="31"/>
        <v/>
      </c>
      <c r="Z22" s="832" t="s">
        <v>636</v>
      </c>
      <c r="AA22" s="830" t="str">
        <f t="shared" si="32"/>
        <v/>
      </c>
      <c r="AB22" s="832" t="s">
        <v>637</v>
      </c>
      <c r="AC22" s="830" t="str">
        <f t="shared" si="33"/>
        <v/>
      </c>
      <c r="AD22" s="832" t="s">
        <v>637</v>
      </c>
      <c r="AE22" s="830" t="str">
        <f t="shared" si="34"/>
        <v/>
      </c>
    </row>
    <row r="23" spans="1:31" ht="15" customHeight="1">
      <c r="A23" s="861" t="s">
        <v>667</v>
      </c>
      <c r="B23" s="859" t="e">
        <f t="shared" si="19"/>
        <v>#VALUE!</v>
      </c>
      <c r="C23" s="842" t="e">
        <f t="shared" si="20"/>
        <v>#VALUE!</v>
      </c>
      <c r="D23" s="863" t="s">
        <v>498</v>
      </c>
      <c r="E23" s="842" t="str">
        <f t="shared" si="21"/>
        <v/>
      </c>
      <c r="F23" s="863" t="s">
        <v>499</v>
      </c>
      <c r="G23" s="842" t="str">
        <f t="shared" si="22"/>
        <v/>
      </c>
      <c r="H23" s="865"/>
      <c r="I23" s="842" t="str">
        <f t="shared" si="23"/>
        <v/>
      </c>
      <c r="J23" s="865"/>
      <c r="K23" s="842">
        <f t="shared" si="24"/>
        <v>0</v>
      </c>
      <c r="L23" s="865"/>
      <c r="M23" s="842" t="str">
        <f t="shared" si="25"/>
        <v/>
      </c>
      <c r="N23" s="865"/>
      <c r="O23" s="840" t="str">
        <f t="shared" si="26"/>
        <v/>
      </c>
      <c r="Q23" s="855"/>
      <c r="R23" s="858"/>
      <c r="S23" s="831"/>
      <c r="T23" s="833"/>
      <c r="U23" s="831"/>
      <c r="V23" s="833"/>
      <c r="W23" s="831"/>
      <c r="X23" s="833"/>
      <c r="Y23" s="831"/>
      <c r="Z23" s="833"/>
      <c r="AA23" s="831"/>
      <c r="AB23" s="833"/>
      <c r="AC23" s="831"/>
      <c r="AD23" s="833"/>
      <c r="AE23" s="831"/>
    </row>
    <row r="24" spans="1:31" ht="15" customHeight="1">
      <c r="A24" s="887"/>
      <c r="B24" s="886"/>
      <c r="C24" s="867"/>
      <c r="D24" s="888"/>
      <c r="E24" s="867"/>
      <c r="F24" s="888"/>
      <c r="G24" s="867"/>
      <c r="H24" s="868"/>
      <c r="I24" s="867"/>
      <c r="J24" s="868"/>
      <c r="K24" s="867"/>
      <c r="L24" s="868"/>
      <c r="M24" s="867"/>
      <c r="N24" s="868"/>
      <c r="O24" s="889"/>
      <c r="Q24" s="852" t="s">
        <v>694</v>
      </c>
      <c r="R24" s="856">
        <f t="shared" si="27"/>
        <v>0</v>
      </c>
      <c r="S24" s="830" t="e">
        <f t="shared" ref="S24" si="41">IF(R$13&lt;&gt;0, (R24/R$13), "")</f>
        <v>#VALUE!</v>
      </c>
      <c r="T24" s="832" t="s">
        <v>639</v>
      </c>
      <c r="U24" s="830" t="e">
        <f t="shared" ref="U24" si="42">IF(T$13&lt;&gt;0, (T24/T$13), "")</f>
        <v>#VALUE!</v>
      </c>
      <c r="V24" s="832" t="s">
        <v>640</v>
      </c>
      <c r="W24" s="830" t="str">
        <f t="shared" si="30"/>
        <v/>
      </c>
      <c r="X24" s="832" t="s">
        <v>640</v>
      </c>
      <c r="Y24" s="830" t="str">
        <f t="shared" si="31"/>
        <v/>
      </c>
      <c r="Z24" s="832" t="s">
        <v>639</v>
      </c>
      <c r="AA24" s="830" t="str">
        <f t="shared" si="32"/>
        <v/>
      </c>
      <c r="AB24" s="832" t="s">
        <v>640</v>
      </c>
      <c r="AC24" s="830" t="str">
        <f t="shared" si="33"/>
        <v/>
      </c>
      <c r="AD24" s="832" t="s">
        <v>640</v>
      </c>
      <c r="AE24" s="830" t="str">
        <f t="shared" si="34"/>
        <v/>
      </c>
    </row>
    <row r="25" spans="1:31" ht="15" customHeight="1">
      <c r="A25" s="862"/>
      <c r="B25" s="860"/>
      <c r="C25" s="843"/>
      <c r="D25" s="864"/>
      <c r="E25" s="843"/>
      <c r="F25" s="864"/>
      <c r="G25" s="843"/>
      <c r="H25" s="866"/>
      <c r="I25" s="843"/>
      <c r="J25" s="866"/>
      <c r="K25" s="843"/>
      <c r="L25" s="866"/>
      <c r="M25" s="843"/>
      <c r="N25" s="866"/>
      <c r="O25" s="841"/>
      <c r="Q25" s="853"/>
      <c r="R25" s="857"/>
      <c r="S25" s="836"/>
      <c r="T25" s="837"/>
      <c r="U25" s="836"/>
      <c r="V25" s="837"/>
      <c r="W25" s="836"/>
      <c r="X25" s="837"/>
      <c r="Y25" s="836"/>
      <c r="Z25" s="837"/>
      <c r="AA25" s="836"/>
      <c r="AB25" s="837"/>
      <c r="AC25" s="836"/>
      <c r="AD25" s="837"/>
      <c r="AE25" s="836"/>
    </row>
    <row r="26" spans="1:31" ht="15" customHeight="1">
      <c r="A26" s="861" t="s">
        <v>668</v>
      </c>
      <c r="B26" s="859" t="e">
        <f t="shared" si="19"/>
        <v>#VALUE!</v>
      </c>
      <c r="C26" s="842" t="e">
        <f t="shared" si="20"/>
        <v>#VALUE!</v>
      </c>
      <c r="D26" s="863" t="s">
        <v>502</v>
      </c>
      <c r="E26" s="842" t="str">
        <f t="shared" si="21"/>
        <v/>
      </c>
      <c r="F26" s="863" t="s">
        <v>503</v>
      </c>
      <c r="G26" s="842" t="str">
        <f t="shared" si="22"/>
        <v/>
      </c>
      <c r="H26" s="865"/>
      <c r="I26" s="842" t="str">
        <f t="shared" si="23"/>
        <v/>
      </c>
      <c r="J26" s="865"/>
      <c r="K26" s="842">
        <f t="shared" si="24"/>
        <v>0</v>
      </c>
      <c r="L26" s="865"/>
      <c r="M26" s="842" t="str">
        <f t="shared" si="25"/>
        <v/>
      </c>
      <c r="N26" s="865"/>
      <c r="O26" s="840" t="str">
        <f t="shared" si="26"/>
        <v/>
      </c>
      <c r="Q26" s="854"/>
      <c r="R26" s="858"/>
      <c r="S26" s="831"/>
      <c r="T26" s="833"/>
      <c r="U26" s="831"/>
      <c r="V26" s="833"/>
      <c r="W26" s="831"/>
      <c r="X26" s="833"/>
      <c r="Y26" s="831"/>
      <c r="Z26" s="833"/>
      <c r="AA26" s="831"/>
      <c r="AB26" s="833"/>
      <c r="AC26" s="831"/>
      <c r="AD26" s="833"/>
      <c r="AE26" s="831"/>
    </row>
    <row r="27" spans="1:31" ht="15" customHeight="1">
      <c r="A27" s="862"/>
      <c r="B27" s="860"/>
      <c r="C27" s="843"/>
      <c r="D27" s="864"/>
      <c r="E27" s="843"/>
      <c r="F27" s="864"/>
      <c r="G27" s="843"/>
      <c r="H27" s="866"/>
      <c r="I27" s="843"/>
      <c r="J27" s="866"/>
      <c r="K27" s="843"/>
      <c r="L27" s="866"/>
      <c r="M27" s="843"/>
      <c r="N27" s="866"/>
      <c r="O27" s="841"/>
      <c r="Q27" s="855" t="s">
        <v>695</v>
      </c>
      <c r="R27" s="856">
        <f t="shared" si="27"/>
        <v>0</v>
      </c>
      <c r="S27" s="830" t="e">
        <f t="shared" ref="S27" si="43">IF(R$13&lt;&gt;0, (R27/R$13), "")</f>
        <v>#VALUE!</v>
      </c>
      <c r="T27" s="832" t="s">
        <v>642</v>
      </c>
      <c r="U27" s="830" t="e">
        <f t="shared" ref="U27" si="44">IF(T$13&lt;&gt;0, (T27/T$13), "")</f>
        <v>#VALUE!</v>
      </c>
      <c r="V27" s="832" t="s">
        <v>643</v>
      </c>
      <c r="W27" s="830" t="str">
        <f t="shared" si="30"/>
        <v/>
      </c>
      <c r="X27" s="832" t="s">
        <v>643</v>
      </c>
      <c r="Y27" s="830" t="str">
        <f t="shared" si="31"/>
        <v/>
      </c>
      <c r="Z27" s="832" t="s">
        <v>642</v>
      </c>
      <c r="AA27" s="830" t="str">
        <f t="shared" si="32"/>
        <v/>
      </c>
      <c r="AB27" s="832" t="s">
        <v>643</v>
      </c>
      <c r="AC27" s="830" t="str">
        <f t="shared" si="33"/>
        <v/>
      </c>
      <c r="AD27" s="832" t="s">
        <v>643</v>
      </c>
      <c r="AE27" s="830" t="str">
        <f t="shared" si="34"/>
        <v/>
      </c>
    </row>
    <row r="28" spans="1:31" ht="15" customHeight="1">
      <c r="A28" s="861" t="s">
        <v>669</v>
      </c>
      <c r="B28" s="859" t="e">
        <f t="shared" si="19"/>
        <v>#VALUE!</v>
      </c>
      <c r="C28" s="842" t="e">
        <f t="shared" si="20"/>
        <v>#VALUE!</v>
      </c>
      <c r="D28" s="863" t="s">
        <v>505</v>
      </c>
      <c r="E28" s="842" t="str">
        <f t="shared" si="21"/>
        <v/>
      </c>
      <c r="F28" s="863" t="s">
        <v>506</v>
      </c>
      <c r="G28" s="842" t="str">
        <f t="shared" si="22"/>
        <v/>
      </c>
      <c r="H28" s="865"/>
      <c r="I28" s="842" t="str">
        <f t="shared" si="23"/>
        <v/>
      </c>
      <c r="J28" s="865"/>
      <c r="K28" s="842">
        <f t="shared" si="24"/>
        <v>0</v>
      </c>
      <c r="L28" s="865"/>
      <c r="M28" s="842" t="str">
        <f t="shared" si="25"/>
        <v/>
      </c>
      <c r="N28" s="865"/>
      <c r="O28" s="840" t="str">
        <f t="shared" si="26"/>
        <v/>
      </c>
      <c r="Q28" s="855"/>
      <c r="R28" s="858"/>
      <c r="S28" s="831"/>
      <c r="T28" s="833"/>
      <c r="U28" s="831"/>
      <c r="V28" s="833"/>
      <c r="W28" s="831"/>
      <c r="X28" s="833"/>
      <c r="Y28" s="831"/>
      <c r="Z28" s="833"/>
      <c r="AA28" s="831"/>
      <c r="AB28" s="833"/>
      <c r="AC28" s="831"/>
      <c r="AD28" s="833"/>
      <c r="AE28" s="831"/>
    </row>
    <row r="29" spans="1:31" ht="15" customHeight="1">
      <c r="A29" s="862"/>
      <c r="B29" s="860"/>
      <c r="C29" s="843"/>
      <c r="D29" s="864"/>
      <c r="E29" s="843"/>
      <c r="F29" s="864"/>
      <c r="G29" s="843"/>
      <c r="H29" s="866"/>
      <c r="I29" s="843"/>
      <c r="J29" s="866"/>
      <c r="K29" s="843"/>
      <c r="L29" s="866"/>
      <c r="M29" s="843"/>
      <c r="N29" s="866"/>
      <c r="O29" s="841"/>
      <c r="Q29" s="855" t="s">
        <v>696</v>
      </c>
      <c r="R29" s="856">
        <f t="shared" si="27"/>
        <v>0</v>
      </c>
      <c r="S29" s="830" t="e">
        <f t="shared" ref="S29" si="45">IF(R$13&lt;&gt;0, (R29/R$13), "")</f>
        <v>#VALUE!</v>
      </c>
      <c r="T29" s="832" t="s">
        <v>645</v>
      </c>
      <c r="U29" s="830" t="e">
        <f t="shared" ref="U29" si="46">IF(T$13&lt;&gt;0, (T29/T$13), "")</f>
        <v>#VALUE!</v>
      </c>
      <c r="V29" s="832" t="s">
        <v>646</v>
      </c>
      <c r="W29" s="830" t="str">
        <f t="shared" si="30"/>
        <v/>
      </c>
      <c r="X29" s="832" t="s">
        <v>646</v>
      </c>
      <c r="Y29" s="830" t="str">
        <f t="shared" si="31"/>
        <v/>
      </c>
      <c r="Z29" s="832" t="s">
        <v>645</v>
      </c>
      <c r="AA29" s="830" t="str">
        <f t="shared" si="32"/>
        <v/>
      </c>
      <c r="AB29" s="832" t="s">
        <v>646</v>
      </c>
      <c r="AC29" s="830" t="str">
        <f t="shared" si="33"/>
        <v/>
      </c>
      <c r="AD29" s="832" t="s">
        <v>646</v>
      </c>
      <c r="AE29" s="830" t="str">
        <f t="shared" si="34"/>
        <v/>
      </c>
    </row>
    <row r="30" spans="1:31" ht="15" customHeight="1">
      <c r="A30" s="347" t="s">
        <v>670</v>
      </c>
      <c r="B30" s="235" t="e">
        <f t="shared" si="19"/>
        <v>#VALUE!</v>
      </c>
      <c r="C30" s="377" t="e">
        <f t="shared" si="20"/>
        <v>#VALUE!</v>
      </c>
      <c r="D30" s="351" t="s">
        <v>508</v>
      </c>
      <c r="E30" s="378" t="str">
        <f t="shared" si="21"/>
        <v/>
      </c>
      <c r="F30" s="351" t="s">
        <v>509</v>
      </c>
      <c r="G30" s="378" t="str">
        <f t="shared" si="22"/>
        <v/>
      </c>
      <c r="H30" s="327"/>
      <c r="I30" s="378" t="str">
        <f t="shared" si="23"/>
        <v/>
      </c>
      <c r="J30" s="327"/>
      <c r="K30" s="378">
        <f t="shared" si="24"/>
        <v>0</v>
      </c>
      <c r="L30" s="327"/>
      <c r="M30" s="378" t="str">
        <f t="shared" si="25"/>
        <v/>
      </c>
      <c r="N30" s="327"/>
      <c r="O30" s="379" t="str">
        <f t="shared" si="26"/>
        <v/>
      </c>
      <c r="Q30" s="855"/>
      <c r="R30" s="858"/>
      <c r="S30" s="831"/>
      <c r="T30" s="833"/>
      <c r="U30" s="831"/>
      <c r="V30" s="833"/>
      <c r="W30" s="831"/>
      <c r="X30" s="833"/>
      <c r="Y30" s="831"/>
      <c r="Z30" s="833"/>
      <c r="AA30" s="831"/>
      <c r="AB30" s="833"/>
      <c r="AC30" s="831"/>
      <c r="AD30" s="833"/>
      <c r="AE30" s="831"/>
    </row>
    <row r="31" spans="1:31" ht="15" customHeight="1">
      <c r="A31" s="347" t="s">
        <v>671</v>
      </c>
      <c r="B31" s="235" t="e">
        <f t="shared" si="19"/>
        <v>#VALUE!</v>
      </c>
      <c r="C31" s="377" t="e">
        <f t="shared" si="20"/>
        <v>#VALUE!</v>
      </c>
      <c r="D31" s="351" t="s">
        <v>672</v>
      </c>
      <c r="E31" s="378" t="str">
        <f t="shared" si="21"/>
        <v/>
      </c>
      <c r="F31" s="351" t="s">
        <v>673</v>
      </c>
      <c r="G31" s="378" t="str">
        <f t="shared" si="22"/>
        <v/>
      </c>
      <c r="H31" s="327"/>
      <c r="I31" s="378" t="str">
        <f t="shared" si="23"/>
        <v/>
      </c>
      <c r="J31" s="327"/>
      <c r="K31" s="378">
        <f t="shared" si="24"/>
        <v>0</v>
      </c>
      <c r="L31" s="327"/>
      <c r="M31" s="378" t="str">
        <f t="shared" si="25"/>
        <v/>
      </c>
      <c r="N31" s="327"/>
      <c r="O31" s="379" t="str">
        <f t="shared" si="26"/>
        <v/>
      </c>
      <c r="Q31" s="855" t="s">
        <v>697</v>
      </c>
      <c r="R31" s="856">
        <f t="shared" si="27"/>
        <v>0</v>
      </c>
      <c r="S31" s="830" t="e">
        <f t="shared" ref="S31" si="47">IF(R$13&lt;&gt;0, (R31/R$13), "")</f>
        <v>#VALUE!</v>
      </c>
      <c r="T31" s="832" t="s">
        <v>649</v>
      </c>
      <c r="U31" s="830" t="e">
        <f t="shared" ref="U31" si="48">IF(T$13&lt;&gt;0, (T31/T$13), "")</f>
        <v>#VALUE!</v>
      </c>
      <c r="V31" s="832" t="s">
        <v>650</v>
      </c>
      <c r="W31" s="830" t="str">
        <f t="shared" si="30"/>
        <v/>
      </c>
      <c r="X31" s="832" t="s">
        <v>650</v>
      </c>
      <c r="Y31" s="830" t="str">
        <f t="shared" si="31"/>
        <v/>
      </c>
      <c r="Z31" s="832" t="s">
        <v>649</v>
      </c>
      <c r="AA31" s="830" t="str">
        <f t="shared" si="32"/>
        <v/>
      </c>
      <c r="AB31" s="832" t="s">
        <v>650</v>
      </c>
      <c r="AC31" s="830" t="str">
        <f t="shared" si="33"/>
        <v/>
      </c>
      <c r="AD31" s="832" t="s">
        <v>650</v>
      </c>
      <c r="AE31" s="830" t="str">
        <f t="shared" si="34"/>
        <v/>
      </c>
    </row>
    <row r="32" spans="1:31" ht="15" customHeight="1">
      <c r="A32" s="347" t="s">
        <v>674</v>
      </c>
      <c r="B32" s="235" t="e">
        <f t="shared" si="19"/>
        <v>#VALUE!</v>
      </c>
      <c r="C32" s="377" t="e">
        <f t="shared" si="20"/>
        <v>#VALUE!</v>
      </c>
      <c r="D32" s="351" t="s">
        <v>675</v>
      </c>
      <c r="E32" s="378" t="str">
        <f t="shared" si="21"/>
        <v/>
      </c>
      <c r="F32" s="351" t="s">
        <v>676</v>
      </c>
      <c r="G32" s="378" t="str">
        <f t="shared" si="22"/>
        <v/>
      </c>
      <c r="H32" s="327"/>
      <c r="I32" s="378" t="str">
        <f t="shared" si="23"/>
        <v/>
      </c>
      <c r="J32" s="327"/>
      <c r="K32" s="378">
        <f t="shared" si="24"/>
        <v>0</v>
      </c>
      <c r="L32" s="327"/>
      <c r="M32" s="378" t="str">
        <f t="shared" si="25"/>
        <v/>
      </c>
      <c r="N32" s="327"/>
      <c r="O32" s="379" t="str">
        <f t="shared" si="26"/>
        <v/>
      </c>
      <c r="Q32" s="855"/>
      <c r="R32" s="858"/>
      <c r="S32" s="831"/>
      <c r="T32" s="833"/>
      <c r="U32" s="831"/>
      <c r="V32" s="833"/>
      <c r="W32" s="831"/>
      <c r="X32" s="833"/>
      <c r="Y32" s="831"/>
      <c r="Z32" s="833"/>
      <c r="AA32" s="831"/>
      <c r="AB32" s="833"/>
      <c r="AC32" s="831"/>
      <c r="AD32" s="833"/>
      <c r="AE32" s="831"/>
    </row>
    <row r="33" spans="1:31" ht="15" customHeight="1">
      <c r="A33" s="347" t="s">
        <v>677</v>
      </c>
      <c r="B33" s="235" t="e">
        <f t="shared" si="19"/>
        <v>#VALUE!</v>
      </c>
      <c r="C33" s="377" t="e">
        <f t="shared" si="20"/>
        <v>#VALUE!</v>
      </c>
      <c r="D33" s="351" t="s">
        <v>678</v>
      </c>
      <c r="E33" s="378" t="str">
        <f t="shared" si="21"/>
        <v/>
      </c>
      <c r="F33" s="351" t="s">
        <v>679</v>
      </c>
      <c r="G33" s="378" t="str">
        <f t="shared" si="22"/>
        <v/>
      </c>
      <c r="H33" s="327"/>
      <c r="I33" s="378" t="str">
        <f t="shared" si="23"/>
        <v/>
      </c>
      <c r="J33" s="327"/>
      <c r="K33" s="378">
        <f t="shared" si="24"/>
        <v>0</v>
      </c>
      <c r="L33" s="327"/>
      <c r="M33" s="378" t="str">
        <f t="shared" si="25"/>
        <v/>
      </c>
      <c r="N33" s="327"/>
      <c r="O33" s="379" t="str">
        <f t="shared" si="26"/>
        <v/>
      </c>
      <c r="Q33" s="855" t="s">
        <v>698</v>
      </c>
      <c r="R33" s="856">
        <f t="shared" si="27"/>
        <v>0</v>
      </c>
      <c r="S33" s="830" t="e">
        <f t="shared" ref="S33" si="49">IF(R$13&lt;&gt;0, (R33/R$13), "")</f>
        <v>#VALUE!</v>
      </c>
      <c r="T33" s="832" t="s">
        <v>699</v>
      </c>
      <c r="U33" s="830" t="e">
        <f t="shared" ref="U33" si="50">IF(T$13&lt;&gt;0, (T33/T$13), "")</f>
        <v>#VALUE!</v>
      </c>
      <c r="V33" s="838" t="s">
        <v>700</v>
      </c>
      <c r="W33" s="830" t="str">
        <f t="shared" si="30"/>
        <v/>
      </c>
      <c r="X33" s="838" t="s">
        <v>700</v>
      </c>
      <c r="Y33" s="830" t="str">
        <f t="shared" si="31"/>
        <v/>
      </c>
      <c r="Z33" s="832" t="s">
        <v>699</v>
      </c>
      <c r="AA33" s="830" t="str">
        <f t="shared" si="32"/>
        <v/>
      </c>
      <c r="AB33" s="838" t="s">
        <v>700</v>
      </c>
      <c r="AC33" s="830" t="str">
        <f t="shared" si="33"/>
        <v/>
      </c>
      <c r="AD33" s="838" t="s">
        <v>700</v>
      </c>
      <c r="AE33" s="830" t="str">
        <f t="shared" si="34"/>
        <v/>
      </c>
    </row>
    <row r="34" spans="1:31" ht="15" customHeight="1" thickBot="1">
      <c r="A34" s="240" t="s">
        <v>680</v>
      </c>
      <c r="B34" s="237" t="e">
        <f t="shared" si="19"/>
        <v>#VALUE!</v>
      </c>
      <c r="C34" s="380" t="e">
        <f t="shared" si="20"/>
        <v>#VALUE!</v>
      </c>
      <c r="D34" s="197" t="s">
        <v>681</v>
      </c>
      <c r="E34" s="380" t="str">
        <f t="shared" si="21"/>
        <v/>
      </c>
      <c r="F34" s="197" t="s">
        <v>682</v>
      </c>
      <c r="G34" s="380" t="str">
        <f t="shared" si="22"/>
        <v/>
      </c>
      <c r="H34" s="328"/>
      <c r="I34" s="380" t="str">
        <f t="shared" si="23"/>
        <v/>
      </c>
      <c r="J34" s="328"/>
      <c r="K34" s="380">
        <f t="shared" si="24"/>
        <v>0</v>
      </c>
      <c r="L34" s="328"/>
      <c r="M34" s="380" t="str">
        <f t="shared" si="25"/>
        <v/>
      </c>
      <c r="N34" s="328"/>
      <c r="O34" s="381" t="str">
        <f t="shared" si="26"/>
        <v/>
      </c>
      <c r="Q34" s="855"/>
      <c r="R34" s="858"/>
      <c r="S34" s="831"/>
      <c r="T34" s="833"/>
      <c r="U34" s="831"/>
      <c r="V34" s="839"/>
      <c r="W34" s="831"/>
      <c r="X34" s="839"/>
      <c r="Y34" s="831"/>
      <c r="Z34" s="833"/>
      <c r="AA34" s="831"/>
      <c r="AB34" s="839"/>
      <c r="AC34" s="831"/>
      <c r="AD34" s="839"/>
      <c r="AE34" s="831"/>
    </row>
    <row r="35" spans="1:31" ht="15" customHeight="1" thickTop="1">
      <c r="Q35" s="347" t="s">
        <v>701</v>
      </c>
      <c r="R35" s="349">
        <f t="shared" si="27"/>
        <v>0</v>
      </c>
      <c r="S35" s="353" t="e">
        <f t="shared" ref="S35:S36" si="51">IF(R$13&lt;&gt;0, (R35/R$13), "")</f>
        <v>#VALUE!</v>
      </c>
      <c r="T35" s="348" t="s">
        <v>702</v>
      </c>
      <c r="U35" s="353" t="e">
        <f t="shared" ref="U35:U36" si="52">IF(T$13&lt;&gt;0, (T35/T$13), "")</f>
        <v>#VALUE!</v>
      </c>
      <c r="V35" s="348" t="s">
        <v>703</v>
      </c>
      <c r="W35" s="353" t="str">
        <f t="shared" si="30"/>
        <v/>
      </c>
      <c r="X35" s="348" t="s">
        <v>703</v>
      </c>
      <c r="Y35" s="353" t="str">
        <f t="shared" si="31"/>
        <v/>
      </c>
      <c r="Z35" s="348" t="s">
        <v>702</v>
      </c>
      <c r="AA35" s="353" t="str">
        <f t="shared" si="32"/>
        <v/>
      </c>
      <c r="AB35" s="348" t="s">
        <v>703</v>
      </c>
      <c r="AC35" s="353" t="str">
        <f t="shared" si="33"/>
        <v/>
      </c>
      <c r="AD35" s="348" t="s">
        <v>703</v>
      </c>
      <c r="AE35" s="353" t="str">
        <f t="shared" si="34"/>
        <v/>
      </c>
    </row>
    <row r="36" spans="1:31" ht="15" customHeight="1">
      <c r="Q36" s="855" t="s">
        <v>704</v>
      </c>
      <c r="R36" s="856">
        <f t="shared" si="27"/>
        <v>0</v>
      </c>
      <c r="S36" s="830" t="e">
        <f t="shared" si="51"/>
        <v>#VALUE!</v>
      </c>
      <c r="T36" s="832" t="s">
        <v>705</v>
      </c>
      <c r="U36" s="830" t="e">
        <f t="shared" si="52"/>
        <v>#VALUE!</v>
      </c>
      <c r="V36" s="832" t="s">
        <v>706</v>
      </c>
      <c r="W36" s="830" t="str">
        <f t="shared" si="30"/>
        <v/>
      </c>
      <c r="X36" s="832" t="s">
        <v>706</v>
      </c>
      <c r="Y36" s="830" t="str">
        <f t="shared" si="31"/>
        <v/>
      </c>
      <c r="Z36" s="832" t="s">
        <v>705</v>
      </c>
      <c r="AA36" s="830" t="str">
        <f t="shared" si="32"/>
        <v/>
      </c>
      <c r="AB36" s="832" t="s">
        <v>706</v>
      </c>
      <c r="AC36" s="830" t="str">
        <f t="shared" si="33"/>
        <v/>
      </c>
      <c r="AD36" s="832" t="s">
        <v>706</v>
      </c>
      <c r="AE36" s="830" t="str">
        <f t="shared" si="34"/>
        <v/>
      </c>
    </row>
    <row r="37" spans="1:31" ht="15" customHeight="1">
      <c r="Q37" s="855"/>
      <c r="R37" s="858"/>
      <c r="S37" s="831"/>
      <c r="T37" s="833"/>
      <c r="U37" s="831"/>
      <c r="V37" s="833"/>
      <c r="W37" s="831"/>
      <c r="X37" s="833"/>
      <c r="Y37" s="831"/>
      <c r="Z37" s="833"/>
      <c r="AA37" s="831"/>
      <c r="AB37" s="833"/>
      <c r="AC37" s="831"/>
      <c r="AD37" s="833"/>
      <c r="AE37" s="831"/>
    </row>
    <row r="38" spans="1:31" ht="15" customHeight="1" thickBot="1">
      <c r="Q38" s="240" t="s">
        <v>680</v>
      </c>
      <c r="R38" s="234">
        <f t="shared" si="27"/>
        <v>0</v>
      </c>
      <c r="S38" s="371" t="e">
        <f t="shared" ref="S38" si="53">IF(R$13&lt;&gt;0, (R38/R$13), "")</f>
        <v>#VALUE!</v>
      </c>
      <c r="T38" s="369" t="s">
        <v>707</v>
      </c>
      <c r="U38" s="371" t="e">
        <f t="shared" ref="U38" si="54">IF(T$13&lt;&gt;0, (T38/T$13), "")</f>
        <v>#VALUE!</v>
      </c>
      <c r="V38" s="369" t="s">
        <v>708</v>
      </c>
      <c r="W38" s="371" t="str">
        <f t="shared" si="30"/>
        <v/>
      </c>
      <c r="X38" s="369" t="s">
        <v>708</v>
      </c>
      <c r="Y38" s="371" t="str">
        <f t="shared" si="31"/>
        <v/>
      </c>
      <c r="Z38" s="369" t="s">
        <v>707</v>
      </c>
      <c r="AA38" s="371" t="str">
        <f t="shared" si="32"/>
        <v/>
      </c>
      <c r="AB38" s="369" t="s">
        <v>708</v>
      </c>
      <c r="AC38" s="371" t="str">
        <f t="shared" si="33"/>
        <v/>
      </c>
      <c r="AD38" s="369" t="s">
        <v>708</v>
      </c>
      <c r="AE38" s="371" t="str">
        <f t="shared" si="34"/>
        <v/>
      </c>
    </row>
    <row r="39" spans="1:31" ht="15" customHeight="1" thickTop="1"/>
    <row r="40" spans="1:31" ht="15" customHeight="1"/>
    <row r="41" spans="1:31" ht="15" customHeight="1"/>
    <row r="42" spans="1:31" ht="15" customHeight="1"/>
    <row r="43" spans="1:31" ht="15" customHeight="1"/>
    <row r="53" ht="15" customHeight="1"/>
    <row r="54" ht="15" customHeight="1"/>
    <row r="55" ht="15" customHeight="1"/>
    <row r="56" ht="15" customHeight="1"/>
    <row r="57" ht="15" customHeight="1"/>
    <row r="58" ht="15" customHeight="1"/>
    <row r="59" ht="15" customHeight="1"/>
    <row r="60"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sheetData>
  <mergeCells count="270">
    <mergeCell ref="R33:R34"/>
    <mergeCell ref="S33:S34"/>
    <mergeCell ref="U33:U34"/>
    <mergeCell ref="W33:W34"/>
    <mergeCell ref="Y33:Y34"/>
    <mergeCell ref="AA33:AA34"/>
    <mergeCell ref="AC33:AC34"/>
    <mergeCell ref="AE33:AE34"/>
    <mergeCell ref="R36:R37"/>
    <mergeCell ref="S36:S37"/>
    <mergeCell ref="U36:U37"/>
    <mergeCell ref="W36:W37"/>
    <mergeCell ref="Y36:Y37"/>
    <mergeCell ref="AA36:AA37"/>
    <mergeCell ref="AC36:AC37"/>
    <mergeCell ref="AE36:AE37"/>
    <mergeCell ref="AD36:AD37"/>
    <mergeCell ref="Z33:Z34"/>
    <mergeCell ref="AB33:AB34"/>
    <mergeCell ref="AD33:AD34"/>
    <mergeCell ref="R29:R30"/>
    <mergeCell ref="S29:S30"/>
    <mergeCell ref="U29:U30"/>
    <mergeCell ref="W29:W30"/>
    <mergeCell ref="Y29:Y30"/>
    <mergeCell ref="AA29:AA30"/>
    <mergeCell ref="AC29:AC30"/>
    <mergeCell ref="AE29:AE30"/>
    <mergeCell ref="R31:R32"/>
    <mergeCell ref="S31:S32"/>
    <mergeCell ref="U31:U32"/>
    <mergeCell ref="W31:W32"/>
    <mergeCell ref="Y31:Y32"/>
    <mergeCell ref="AA31:AA32"/>
    <mergeCell ref="AC31:AC32"/>
    <mergeCell ref="AE31:AE32"/>
    <mergeCell ref="AB31:AB32"/>
    <mergeCell ref="AD31:AD32"/>
    <mergeCell ref="Z29:Z30"/>
    <mergeCell ref="AB29:AB30"/>
    <mergeCell ref="AD29:AD30"/>
    <mergeCell ref="AA24:AA26"/>
    <mergeCell ref="AC24:AC26"/>
    <mergeCell ref="AE24:AE26"/>
    <mergeCell ref="R27:R28"/>
    <mergeCell ref="S27:S28"/>
    <mergeCell ref="U27:U28"/>
    <mergeCell ref="W27:W28"/>
    <mergeCell ref="Y27:Y28"/>
    <mergeCell ref="AA27:AA28"/>
    <mergeCell ref="AC27:AC28"/>
    <mergeCell ref="AE27:AE28"/>
    <mergeCell ref="V24:V26"/>
    <mergeCell ref="T24:T26"/>
    <mergeCell ref="AB27:AB28"/>
    <mergeCell ref="AD27:AD28"/>
    <mergeCell ref="AB24:AB26"/>
    <mergeCell ref="AD24:AD26"/>
    <mergeCell ref="B23:B25"/>
    <mergeCell ref="A23:A25"/>
    <mergeCell ref="G23:G25"/>
    <mergeCell ref="F23:F25"/>
    <mergeCell ref="E23:E25"/>
    <mergeCell ref="D23:D25"/>
    <mergeCell ref="C23:C25"/>
    <mergeCell ref="O23:O25"/>
    <mergeCell ref="N23:N25"/>
    <mergeCell ref="M23:M25"/>
    <mergeCell ref="L23:L25"/>
    <mergeCell ref="G26:G27"/>
    <mergeCell ref="E26:E27"/>
    <mergeCell ref="C26:C27"/>
    <mergeCell ref="U22:U23"/>
    <mergeCell ref="Q36:Q37"/>
    <mergeCell ref="T36:T37"/>
    <mergeCell ref="V36:V37"/>
    <mergeCell ref="Q31:Q32"/>
    <mergeCell ref="T31:T32"/>
    <mergeCell ref="V31:V32"/>
    <mergeCell ref="Q33:Q34"/>
    <mergeCell ref="T33:T34"/>
    <mergeCell ref="V33:V34"/>
    <mergeCell ref="V29:V30"/>
    <mergeCell ref="Q29:Q30"/>
    <mergeCell ref="T29:T30"/>
    <mergeCell ref="M28:M29"/>
    <mergeCell ref="L28:L29"/>
    <mergeCell ref="K28:K29"/>
    <mergeCell ref="Q27:Q28"/>
    <mergeCell ref="T27:T28"/>
    <mergeCell ref="V27:V28"/>
    <mergeCell ref="R22:R23"/>
    <mergeCell ref="O28:O29"/>
    <mergeCell ref="Q5:Q6"/>
    <mergeCell ref="Q18:Q19"/>
    <mergeCell ref="T18:T19"/>
    <mergeCell ref="V18:V19"/>
    <mergeCell ref="Q20:Q21"/>
    <mergeCell ref="T20:T21"/>
    <mergeCell ref="S15:S17"/>
    <mergeCell ref="R15:R17"/>
    <mergeCell ref="T9:T10"/>
    <mergeCell ref="S9:S10"/>
    <mergeCell ref="R9:R10"/>
    <mergeCell ref="Q9:Q10"/>
    <mergeCell ref="V15:V17"/>
    <mergeCell ref="U15:U17"/>
    <mergeCell ref="T15:T17"/>
    <mergeCell ref="Q7:AE7"/>
    <mergeCell ref="Q14:AE14"/>
    <mergeCell ref="X9:X10"/>
    <mergeCell ref="W9:W10"/>
    <mergeCell ref="V9:V10"/>
    <mergeCell ref="U9:U10"/>
    <mergeCell ref="Q15:Q17"/>
    <mergeCell ref="X15:X17"/>
    <mergeCell ref="W15:W17"/>
    <mergeCell ref="B4:C5"/>
    <mergeCell ref="D5:E5"/>
    <mergeCell ref="F5:G5"/>
    <mergeCell ref="D4:I4"/>
    <mergeCell ref="J4:O4"/>
    <mergeCell ref="N5:O5"/>
    <mergeCell ref="B9:B10"/>
    <mergeCell ref="C9:C10"/>
    <mergeCell ref="D9:D10"/>
    <mergeCell ref="E9:E10"/>
    <mergeCell ref="F9:F10"/>
    <mergeCell ref="G9:G10"/>
    <mergeCell ref="H9:H10"/>
    <mergeCell ref="I9:I10"/>
    <mergeCell ref="J9:J10"/>
    <mergeCell ref="K9:K10"/>
    <mergeCell ref="L9:L10"/>
    <mergeCell ref="M9:M10"/>
    <mergeCell ref="N9:N10"/>
    <mergeCell ref="O9:O10"/>
    <mergeCell ref="W18:W19"/>
    <mergeCell ref="R20:R21"/>
    <mergeCell ref="S20:S21"/>
    <mergeCell ref="U20:U21"/>
    <mergeCell ref="W20:W21"/>
    <mergeCell ref="V20:V21"/>
    <mergeCell ref="R18:R19"/>
    <mergeCell ref="S18:S19"/>
    <mergeCell ref="U18:U19"/>
    <mergeCell ref="A1:O1"/>
    <mergeCell ref="A2:O2"/>
    <mergeCell ref="A3:O3"/>
    <mergeCell ref="C15:C16"/>
    <mergeCell ref="A15:A16"/>
    <mergeCell ref="O15:O16"/>
    <mergeCell ref="M15:M16"/>
    <mergeCell ref="K15:K16"/>
    <mergeCell ref="I15:I16"/>
    <mergeCell ref="G15:G16"/>
    <mergeCell ref="E15:E16"/>
    <mergeCell ref="N15:N16"/>
    <mergeCell ref="L15:L16"/>
    <mergeCell ref="J15:J16"/>
    <mergeCell ref="H15:H16"/>
    <mergeCell ref="F15:F16"/>
    <mergeCell ref="H5:I5"/>
    <mergeCell ref="J5:K5"/>
    <mergeCell ref="L5:M5"/>
    <mergeCell ref="A14:O14"/>
    <mergeCell ref="A9:A10"/>
    <mergeCell ref="A7:O7"/>
    <mergeCell ref="D15:D16"/>
    <mergeCell ref="B15:B16"/>
    <mergeCell ref="A5:A6"/>
    <mergeCell ref="C28:C29"/>
    <mergeCell ref="B28:B29"/>
    <mergeCell ref="A28:A29"/>
    <mergeCell ref="E28:E29"/>
    <mergeCell ref="D28:D29"/>
    <mergeCell ref="A26:A27"/>
    <mergeCell ref="N26:N27"/>
    <mergeCell ref="L26:L27"/>
    <mergeCell ref="J26:J27"/>
    <mergeCell ref="H26:H27"/>
    <mergeCell ref="F26:F27"/>
    <mergeCell ref="D26:D27"/>
    <mergeCell ref="B26:B27"/>
    <mergeCell ref="J28:J29"/>
    <mergeCell ref="I28:I29"/>
    <mergeCell ref="H28:H29"/>
    <mergeCell ref="G28:G29"/>
    <mergeCell ref="F28:F29"/>
    <mergeCell ref="N28:N29"/>
    <mergeCell ref="K23:K25"/>
    <mergeCell ref="J23:J25"/>
    <mergeCell ref="I23:I25"/>
    <mergeCell ref="H23:H25"/>
    <mergeCell ref="Q24:Q26"/>
    <mergeCell ref="W22:W23"/>
    <mergeCell ref="S22:S23"/>
    <mergeCell ref="Q22:Q23"/>
    <mergeCell ref="T22:T23"/>
    <mergeCell ref="R24:R26"/>
    <mergeCell ref="S24:S26"/>
    <mergeCell ref="U24:U26"/>
    <mergeCell ref="W24:W26"/>
    <mergeCell ref="AB36:AB37"/>
    <mergeCell ref="O26:O27"/>
    <mergeCell ref="M26:M27"/>
    <mergeCell ref="K26:K27"/>
    <mergeCell ref="I26:I27"/>
    <mergeCell ref="V22:V23"/>
    <mergeCell ref="Q1:AE1"/>
    <mergeCell ref="Q2:AE2"/>
    <mergeCell ref="Q3:AE3"/>
    <mergeCell ref="Z4:AE4"/>
    <mergeCell ref="T5:U5"/>
    <mergeCell ref="V5:W5"/>
    <mergeCell ref="X5:Y5"/>
    <mergeCell ref="Z5:AA5"/>
    <mergeCell ref="AB5:AC5"/>
    <mergeCell ref="AD5:AE5"/>
    <mergeCell ref="R4:S5"/>
    <mergeCell ref="T4:Y4"/>
    <mergeCell ref="AA20:AA21"/>
    <mergeCell ref="AB20:AB21"/>
    <mergeCell ref="AC20:AC21"/>
    <mergeCell ref="AD20:AD21"/>
    <mergeCell ref="AE20:AE21"/>
    <mergeCell ref="AA18:AA19"/>
    <mergeCell ref="X29:X30"/>
    <mergeCell ref="X31:X32"/>
    <mergeCell ref="X33:X34"/>
    <mergeCell ref="X36:X37"/>
    <mergeCell ref="Z18:Z19"/>
    <mergeCell ref="Z20:Z21"/>
    <mergeCell ref="Z22:Z23"/>
    <mergeCell ref="Z24:Z26"/>
    <mergeCell ref="Z27:Z28"/>
    <mergeCell ref="Z31:Z32"/>
    <mergeCell ref="Z36:Z37"/>
    <mergeCell ref="X18:X19"/>
    <mergeCell ref="Y18:Y19"/>
    <mergeCell ref="X20:X21"/>
    <mergeCell ref="Y20:Y21"/>
    <mergeCell ref="X22:X23"/>
    <mergeCell ref="Y22:Y23"/>
    <mergeCell ref="X24:X26"/>
    <mergeCell ref="X27:X28"/>
    <mergeCell ref="Y24:Y26"/>
    <mergeCell ref="AA22:AA23"/>
    <mergeCell ref="AB22:AB23"/>
    <mergeCell ref="AC22:AC23"/>
    <mergeCell ref="AD22:AD23"/>
    <mergeCell ref="AE22:AE23"/>
    <mergeCell ref="AE9:AE10"/>
    <mergeCell ref="AA9:AA10"/>
    <mergeCell ref="Z9:Z10"/>
    <mergeCell ref="Y9:Y10"/>
    <mergeCell ref="AC9:AC10"/>
    <mergeCell ref="AB9:AB10"/>
    <mergeCell ref="AE15:AE17"/>
    <mergeCell ref="AD15:AD17"/>
    <mergeCell ref="AC15:AC17"/>
    <mergeCell ref="AB15:AB17"/>
    <mergeCell ref="AA15:AA17"/>
    <mergeCell ref="Z15:Z17"/>
    <mergeCell ref="Y15:Y17"/>
    <mergeCell ref="AC18:AC19"/>
    <mergeCell ref="AD18:AD19"/>
    <mergeCell ref="AE18:AE19"/>
    <mergeCell ref="AD9:AD10"/>
    <mergeCell ref="AB18:AB19"/>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G38"/>
  <sheetViews>
    <sheetView topLeftCell="A22" workbookViewId="0">
      <selection activeCell="E38" sqref="E38"/>
    </sheetView>
  </sheetViews>
  <sheetFormatPr defaultRowHeight="15"/>
  <cols>
    <col min="1" max="1" width="28.42578125" customWidth="1"/>
    <col min="2" max="7" width="9.7109375" customWidth="1"/>
  </cols>
  <sheetData>
    <row r="1" spans="1:7" ht="15.75" customHeight="1" thickTop="1">
      <c r="A1" s="517" t="s">
        <v>709</v>
      </c>
      <c r="B1" s="518"/>
      <c r="C1" s="518"/>
      <c r="D1" s="518"/>
      <c r="E1" s="518"/>
      <c r="F1" s="518"/>
      <c r="G1" s="519"/>
    </row>
    <row r="2" spans="1:7" ht="15" customHeight="1">
      <c r="A2" s="728" t="s">
        <v>710</v>
      </c>
      <c r="B2" s="729"/>
      <c r="C2" s="729"/>
      <c r="D2" s="729"/>
      <c r="E2" s="729"/>
      <c r="F2" s="729"/>
      <c r="G2" s="730"/>
    </row>
    <row r="3" spans="1:7" ht="15.75" customHeight="1" thickBot="1">
      <c r="A3" s="731" t="s">
        <v>221</v>
      </c>
      <c r="B3" s="732"/>
      <c r="C3" s="732"/>
      <c r="D3" s="732"/>
      <c r="E3" s="732"/>
      <c r="F3" s="732"/>
      <c r="G3" s="733"/>
    </row>
    <row r="4" spans="1:7" ht="52.5" customHeight="1">
      <c r="A4" s="717" t="s">
        <v>711</v>
      </c>
      <c r="B4" s="739" t="s">
        <v>447</v>
      </c>
      <c r="C4" s="739"/>
      <c r="D4" s="739" t="s">
        <v>726</v>
      </c>
      <c r="E4" s="739"/>
      <c r="F4" s="739" t="s">
        <v>725</v>
      </c>
      <c r="G4" s="749"/>
    </row>
    <row r="5" spans="1:7" ht="15.75" customHeight="1">
      <c r="A5" s="502"/>
      <c r="B5" s="740"/>
      <c r="C5" s="740"/>
      <c r="D5" s="740"/>
      <c r="E5" s="740"/>
      <c r="F5" s="740"/>
      <c r="G5" s="761"/>
    </row>
    <row r="6" spans="1:7">
      <c r="A6" s="502"/>
      <c r="B6" s="340" t="s">
        <v>242</v>
      </c>
      <c r="C6" s="340" t="s">
        <v>243</v>
      </c>
      <c r="D6" s="330" t="s">
        <v>242</v>
      </c>
      <c r="E6" s="219" t="s">
        <v>243</v>
      </c>
      <c r="F6" s="330" t="s">
        <v>242</v>
      </c>
      <c r="G6" s="341" t="s">
        <v>243</v>
      </c>
    </row>
    <row r="7" spans="1:7" ht="16.5" customHeight="1">
      <c r="A7" s="714" t="s">
        <v>712</v>
      </c>
      <c r="B7" s="715"/>
      <c r="C7" s="715"/>
      <c r="D7" s="715"/>
      <c r="E7" s="715"/>
      <c r="F7" s="715"/>
      <c r="G7" s="716"/>
    </row>
    <row r="8" spans="1:7" ht="15" customHeight="1">
      <c r="A8" s="352" t="s">
        <v>713</v>
      </c>
      <c r="B8" s="346">
        <f>D8+F8</f>
        <v>0</v>
      </c>
      <c r="C8" s="305">
        <f>IF($B$18&lt;&gt;0, (B8/$B$18), "")</f>
        <v>0</v>
      </c>
      <c r="D8" s="220">
        <f>COUNTIFS(ExitStatusPP,"L",LengthOfStay_PP,"&lt;=30",LastEpisode,"Y")</f>
        <v>0</v>
      </c>
      <c r="E8" s="343" t="str">
        <f>IF($D$18&lt;&gt;0, (D8/$D$18), "")</f>
        <v/>
      </c>
      <c r="F8" s="220">
        <f>COUNTIFS(ExitStatusPP,"S",LengthOfStay_PP,"&lt;=30",LastEpisode,"Y")</f>
        <v>0</v>
      </c>
      <c r="G8" s="353">
        <f>IF($F$18&lt;&gt;0, F8/$F$18, "")</f>
        <v>0</v>
      </c>
    </row>
    <row r="9" spans="1:7" ht="15" customHeight="1">
      <c r="A9" s="352" t="s">
        <v>714</v>
      </c>
      <c r="B9" s="346">
        <f t="shared" ref="B9:B16" si="0">D9+F9</f>
        <v>0</v>
      </c>
      <c r="C9" s="305">
        <f t="shared" ref="C9:C17" si="1">IF($B$18&lt;&gt;0, (B9/$B$18), "")</f>
        <v>0</v>
      </c>
      <c r="D9" s="220">
        <f>COUNTIFS(ExitStatusPP,"L",LengthOfStay_PP,"&gt;=31",LengthOfStay_PP,"&lt;=60",LastEpisode,"Y")</f>
        <v>0</v>
      </c>
      <c r="E9" s="343" t="str">
        <f t="shared" ref="E9:E17" si="2">IF($D$18&lt;&gt;0, (D9/$D$18), "")</f>
        <v/>
      </c>
      <c r="F9" s="220">
        <f>COUNTIFS(ExitStatusPP,"S",LengthOfStay_PP,"&gt;=31", LengthOfStay_PP,"&lt;=60",LastEpisode,"Y")</f>
        <v>0</v>
      </c>
      <c r="G9" s="353">
        <f t="shared" ref="G9:G17" si="3">IF($F$18&lt;&gt;0, F9/$F$18, "")</f>
        <v>0</v>
      </c>
    </row>
    <row r="10" spans="1:7" ht="15" customHeight="1">
      <c r="A10" s="352" t="s">
        <v>715</v>
      </c>
      <c r="B10" s="346">
        <f t="shared" si="0"/>
        <v>1</v>
      </c>
      <c r="C10" s="305">
        <f t="shared" si="1"/>
        <v>1</v>
      </c>
      <c r="D10" s="220">
        <f>COUNTIFS(ExitStatusPP,"L",LengthOfStay_PP,"&gt;=61",LengthOfStay_PP,"&lt;=180",LastEpisode,"Y")</f>
        <v>0</v>
      </c>
      <c r="E10" s="343" t="str">
        <f t="shared" si="2"/>
        <v/>
      </c>
      <c r="F10" s="220">
        <f>COUNTIFS(ExitStatusPP,"S",LengthOfStay_PP,"&gt;=61", LengthOfStay_PP,"&lt;=180",LastEpisode,"Y")</f>
        <v>1</v>
      </c>
      <c r="G10" s="353">
        <f t="shared" si="3"/>
        <v>1</v>
      </c>
    </row>
    <row r="11" spans="1:7" ht="15" customHeight="1">
      <c r="A11" s="352" t="s">
        <v>716</v>
      </c>
      <c r="B11" s="346">
        <f t="shared" si="0"/>
        <v>0</v>
      </c>
      <c r="C11" s="305">
        <f t="shared" si="1"/>
        <v>0</v>
      </c>
      <c r="D11" s="220">
        <f>COUNTIFS(ExitStatusPP,"L",LengthOfStay_PP,"&gt;=181",LengthOfStay_PP,"&lt;=365",LastEpisode,"Y")</f>
        <v>0</v>
      </c>
      <c r="E11" s="343" t="str">
        <f t="shared" si="2"/>
        <v/>
      </c>
      <c r="F11" s="220">
        <f>COUNTIFS(ExitStatusPP,"S",LengthOfStay_PP,"&gt;=181", LengthOfStay_PP,"&lt;=365",LastEpisode,"Y")</f>
        <v>0</v>
      </c>
      <c r="G11" s="353">
        <f t="shared" si="3"/>
        <v>0</v>
      </c>
    </row>
    <row r="12" spans="1:7" ht="15" customHeight="1">
      <c r="A12" s="352" t="s">
        <v>717</v>
      </c>
      <c r="B12" s="346">
        <f t="shared" si="0"/>
        <v>0</v>
      </c>
      <c r="C12" s="305">
        <f t="shared" si="1"/>
        <v>0</v>
      </c>
      <c r="D12" s="220">
        <f>COUNTIFS(ExitStatusPP,"L",LengthOfStay_PP,"&gt;=366",LengthOfStay_PP,"&lt;=730",LastEpisode,"Y")</f>
        <v>0</v>
      </c>
      <c r="E12" s="343" t="str">
        <f t="shared" si="2"/>
        <v/>
      </c>
      <c r="F12" s="220">
        <f>COUNTIFS(ExitStatusPP,"S",LengthOfStay_PP,"&gt;=366", LengthOfStay_PP,"&lt;=730",LastEpisode,"Y")</f>
        <v>0</v>
      </c>
      <c r="G12" s="353">
        <f t="shared" si="3"/>
        <v>0</v>
      </c>
    </row>
    <row r="13" spans="1:7" ht="15" customHeight="1">
      <c r="A13" s="352" t="s">
        <v>718</v>
      </c>
      <c r="B13" s="346">
        <f t="shared" si="0"/>
        <v>0</v>
      </c>
      <c r="C13" s="305">
        <f t="shared" si="1"/>
        <v>0</v>
      </c>
      <c r="D13" s="220">
        <f>COUNTIFS(ExitStatusPP,"L",LengthOfStay_PP,"&gt;=731",LengthOfStay_PP,"&lt;=1095",LastEpisode,"Y")</f>
        <v>0</v>
      </c>
      <c r="E13" s="343" t="str">
        <f t="shared" si="2"/>
        <v/>
      </c>
      <c r="F13" s="220">
        <f>COUNTIFS(ExitStatusPP,"S",LengthOfStay_PP,"&gt;=731", LengthOfStay_PP,"&lt;=1095",LastEpisode,"Y")</f>
        <v>0</v>
      </c>
      <c r="G13" s="353">
        <f t="shared" si="3"/>
        <v>0</v>
      </c>
    </row>
    <row r="14" spans="1:7" ht="15" customHeight="1">
      <c r="A14" s="352" t="s">
        <v>719</v>
      </c>
      <c r="B14" s="346">
        <f t="shared" si="0"/>
        <v>0</v>
      </c>
      <c r="C14" s="305">
        <f t="shared" si="1"/>
        <v>0</v>
      </c>
      <c r="D14" s="220">
        <f>COUNTIFS(ExitStatusPP,"L",LengthOfStay_PP,"&gt;=1096",LengthOfStay_PP,"&lt;=1460",LastEpisode,"Y")</f>
        <v>0</v>
      </c>
      <c r="E14" s="343" t="str">
        <f t="shared" si="2"/>
        <v/>
      </c>
      <c r="F14" s="220">
        <f>COUNTIFS(ExitStatusPP,"S",LengthOfStay_PP,"&gt;=1096", LengthOfStay_PP,"&lt;=1460",LastEpisode,"Y")</f>
        <v>0</v>
      </c>
      <c r="G14" s="353">
        <f t="shared" si="3"/>
        <v>0</v>
      </c>
    </row>
    <row r="15" spans="1:7" ht="15" customHeight="1">
      <c r="A15" s="352" t="s">
        <v>720</v>
      </c>
      <c r="B15" s="346">
        <f t="shared" si="0"/>
        <v>0</v>
      </c>
      <c r="C15" s="305">
        <f t="shared" si="1"/>
        <v>0</v>
      </c>
      <c r="D15" s="220">
        <f>COUNTIFS(ExitStatusPP,"L",LengthOfStay_PP,"&gt;=1461",LengthOfStay_PP,"&lt;=1825",LastEpisode,"Y")</f>
        <v>0</v>
      </c>
      <c r="E15" s="343" t="str">
        <f t="shared" si="2"/>
        <v/>
      </c>
      <c r="F15" s="220">
        <f>COUNTIFS(ExitStatusPP,"S",LengthOfStay_PP,"&gt;=1461", LengthOfStay_PP,"&lt;=1825",LastEpisode,"Y")</f>
        <v>0</v>
      </c>
      <c r="G15" s="353">
        <f t="shared" si="3"/>
        <v>0</v>
      </c>
    </row>
    <row r="16" spans="1:7" ht="15" customHeight="1">
      <c r="A16" s="352" t="s">
        <v>721</v>
      </c>
      <c r="B16" s="346">
        <f t="shared" si="0"/>
        <v>0</v>
      </c>
      <c r="C16" s="305">
        <f t="shared" si="1"/>
        <v>0</v>
      </c>
      <c r="D16" s="220">
        <f>COUNTIFS(ExitStatusPP,"L",LengthOfStay_PP,"&gt;1825",LastEpisode,"Y")</f>
        <v>0</v>
      </c>
      <c r="E16" s="343" t="str">
        <f t="shared" si="2"/>
        <v/>
      </c>
      <c r="F16" s="220">
        <f>COUNTIFS(ExitStatusPP,"S",LengthOfStay_PP,"&gt;1825",LastEpisode,"Y")</f>
        <v>0</v>
      </c>
      <c r="G16" s="353">
        <f t="shared" si="3"/>
        <v>0</v>
      </c>
    </row>
    <row r="17" spans="1:7" ht="15" customHeight="1">
      <c r="A17" s="352" t="s">
        <v>437</v>
      </c>
      <c r="B17" s="346">
        <f>D17+F17</f>
        <v>0</v>
      </c>
      <c r="C17" s="305">
        <f t="shared" si="1"/>
        <v>0</v>
      </c>
      <c r="D17" s="220">
        <f>COUNTIFS(ExitStatusPP,"L",LengthOfStay_PP,"",LastEpisode,"Y")</f>
        <v>0</v>
      </c>
      <c r="E17" s="343" t="str">
        <f t="shared" si="2"/>
        <v/>
      </c>
      <c r="F17" s="220">
        <f>COUNTIFS(ExitStatusPP,"S",LengthOfStay_PP,"",LastEpisode,"Y")</f>
        <v>0</v>
      </c>
      <c r="G17" s="353">
        <f t="shared" si="3"/>
        <v>0</v>
      </c>
    </row>
    <row r="18" spans="1:7">
      <c r="A18" s="215" t="s">
        <v>116</v>
      </c>
      <c r="B18" s="216">
        <f>SUM(B8:B17)</f>
        <v>1</v>
      </c>
      <c r="C18" s="217">
        <v>1</v>
      </c>
      <c r="D18" s="216">
        <f>SUM(D8:D17)</f>
        <v>0</v>
      </c>
      <c r="E18" s="217">
        <v>1</v>
      </c>
      <c r="F18" s="216">
        <f>SUM(F8:F17)</f>
        <v>1</v>
      </c>
      <c r="G18" s="218">
        <v>1</v>
      </c>
    </row>
    <row r="19" spans="1:7" ht="16.5" customHeight="1">
      <c r="A19" s="714" t="s">
        <v>722</v>
      </c>
      <c r="B19" s="715"/>
      <c r="C19" s="715"/>
      <c r="D19" s="715"/>
      <c r="E19" s="715"/>
      <c r="F19" s="715"/>
      <c r="G19" s="716"/>
    </row>
    <row r="20" spans="1:7">
      <c r="A20" s="205" t="s">
        <v>723</v>
      </c>
      <c r="B20" s="750"/>
      <c r="C20" s="750"/>
      <c r="D20" s="891" t="str">
        <f>IF(D18&lt;&gt;0, AVERAGEIFS(LengthOfStay_PP,ExitStatusPP,"L",LastEpisode,"Y"),"")</f>
        <v/>
      </c>
      <c r="E20" s="891"/>
      <c r="F20" s="891">
        <f>IF(F18&lt;&gt;0, AVERAGEIFS(LengthOfStay_PP,ExitStatusPP,"S",LastEpisode,"Y"), "")</f>
        <v>77</v>
      </c>
      <c r="G20" s="891"/>
    </row>
    <row r="21" spans="1:7" ht="15.75" thickBot="1">
      <c r="A21" s="221" t="s">
        <v>724</v>
      </c>
      <c r="B21" s="756"/>
      <c r="C21" s="756"/>
      <c r="D21" s="756"/>
      <c r="E21" s="756"/>
      <c r="F21" s="756"/>
      <c r="G21" s="892"/>
    </row>
    <row r="22" spans="1:7" ht="16.5" thickTop="1" thickBot="1"/>
    <row r="23" spans="1:7" ht="15.75" thickTop="1">
      <c r="A23" s="893" t="s">
        <v>727</v>
      </c>
      <c r="B23" s="894"/>
      <c r="C23" s="894"/>
      <c r="D23" s="894"/>
      <c r="E23" s="894"/>
      <c r="F23" s="894"/>
      <c r="G23" s="895"/>
    </row>
    <row r="24" spans="1:7" ht="15" customHeight="1">
      <c r="A24" s="896" t="s">
        <v>237</v>
      </c>
      <c r="B24" s="897"/>
      <c r="C24" s="897"/>
      <c r="D24" s="897"/>
      <c r="E24" s="897"/>
      <c r="F24" s="897"/>
      <c r="G24" s="898"/>
    </row>
    <row r="25" spans="1:7" ht="15.75" thickBot="1">
      <c r="A25" s="899" t="s">
        <v>728</v>
      </c>
      <c r="B25" s="900"/>
      <c r="C25" s="900"/>
      <c r="D25" s="900"/>
      <c r="E25" s="900"/>
      <c r="F25" s="900"/>
      <c r="G25" s="901"/>
    </row>
    <row r="26" spans="1:7" ht="18.75" customHeight="1">
      <c r="A26" s="903" t="s">
        <v>238</v>
      </c>
      <c r="B26" s="739" t="s">
        <v>729</v>
      </c>
      <c r="C26" s="739"/>
      <c r="D26" s="739"/>
      <c r="E26" s="739"/>
      <c r="F26" s="739"/>
      <c r="G26" s="749"/>
    </row>
    <row r="27" spans="1:7" ht="15.75" customHeight="1">
      <c r="A27" s="768"/>
      <c r="B27" s="740"/>
      <c r="C27" s="740"/>
      <c r="D27" s="740"/>
      <c r="E27" s="740"/>
      <c r="F27" s="740"/>
      <c r="G27" s="761"/>
    </row>
    <row r="28" spans="1:7" ht="60.75" customHeight="1">
      <c r="A28" s="768"/>
      <c r="B28" s="890" t="s">
        <v>244</v>
      </c>
      <c r="C28" s="890" t="s">
        <v>246</v>
      </c>
      <c r="D28" s="890" t="s">
        <v>248</v>
      </c>
      <c r="E28" s="890" t="s">
        <v>250</v>
      </c>
      <c r="F28" s="890" t="s">
        <v>730</v>
      </c>
      <c r="G28" s="904" t="s">
        <v>437</v>
      </c>
    </row>
    <row r="29" spans="1:7">
      <c r="A29" s="768"/>
      <c r="B29" s="890"/>
      <c r="C29" s="890"/>
      <c r="D29" s="890"/>
      <c r="E29" s="890"/>
      <c r="F29" s="890"/>
      <c r="G29" s="904"/>
    </row>
    <row r="30" spans="1:7">
      <c r="A30" s="352" t="s">
        <v>244</v>
      </c>
      <c r="B30" s="348">
        <f>COUNTIFS(HousingStatusAtEntry,1,HousingStatusAtExit,1,LastEpisode,"Y")</f>
        <v>4</v>
      </c>
      <c r="C30" s="348">
        <f>COUNTIFS(HousingStatusAtEntry,1,HousingStatusAtExit,2,LastEpisode,"Y")</f>
        <v>1</v>
      </c>
      <c r="D30" s="348">
        <f>COUNTIFS(HousingStatusAtEntry,1,HousingStatusAtExit,3,LastEpisode,"Y")</f>
        <v>9</v>
      </c>
      <c r="E30" s="348">
        <f>COUNTIFS(HousingStatusAtEntry,1,HousingStatusAtExit,4,LastEpisode,"Y")</f>
        <v>22</v>
      </c>
      <c r="F30" s="348">
        <f>COUNTIFS(HousingStatusAtEntry,1,HousingStatusAtExit,"&gt;=8",HousingStatusAtExit,"&lt;=9",LastEpisode,"Y")</f>
        <v>2</v>
      </c>
      <c r="G30" s="350">
        <f>COUNTIFS(HousingStatusAtEntry,1,HousingStatusAtExit,"",LastEpisode,"Y")</f>
        <v>33</v>
      </c>
    </row>
    <row r="31" spans="1:7">
      <c r="A31" s="905" t="s">
        <v>246</v>
      </c>
      <c r="B31" s="877">
        <f>COUNTIFS(HousingStatusAtEntry,2,HousingStatusAtExit,1,LastEpisode,"Y")</f>
        <v>0</v>
      </c>
      <c r="C31" s="834">
        <f>COUNTIFS(HousingStatusAtEntry,2,HousingStatusAtExit,2,LastEpisode,"Y")</f>
        <v>3</v>
      </c>
      <c r="D31" s="877">
        <f>COUNTIFS(HousingStatusAtEntry,2,HousingStatusAtExit,3,LastEpisode,"Y")</f>
        <v>8</v>
      </c>
      <c r="E31" s="877">
        <f>COUNTIFS(HousingStatusAtEntry,2,HousingStatusAtExit,4,LastEpisode,"Y")</f>
        <v>26</v>
      </c>
      <c r="F31" s="877">
        <f>COUNTIFS(HousingStatusAtEntry,2,HousingStatusAtExit,"&gt;=8",HousingStatusAtExit,"&lt;=9",LastEpisode,"Y")</f>
        <v>1</v>
      </c>
      <c r="G31" s="902">
        <f>COUNTIFS(HousingStatusAtEntry,2,HousingStatusAtExit,"",LastEpisode,"Y")</f>
        <v>27</v>
      </c>
    </row>
    <row r="32" spans="1:7">
      <c r="A32" s="905"/>
      <c r="B32" s="877"/>
      <c r="C32" s="835"/>
      <c r="D32" s="877"/>
      <c r="E32" s="877"/>
      <c r="F32" s="877"/>
      <c r="G32" s="902"/>
    </row>
    <row r="33" spans="1:7" ht="25.5">
      <c r="A33" s="352" t="s">
        <v>248</v>
      </c>
      <c r="B33" s="348">
        <f>COUNTIFS(HousingStatusAtEntry,3,HousingStatusAtExit,1,LastEpisode,"Y")</f>
        <v>2</v>
      </c>
      <c r="C33" s="348">
        <f>COUNTIFS(HousingStatusAtEntry,3,HousingStatusAtExit,2,LastEpisode,"Y")</f>
        <v>0</v>
      </c>
      <c r="D33" s="348">
        <f>COUNTIFS(HousingStatusAtEntry,3,HousingStatusAtExit,3,LastEpisode,"Y")</f>
        <v>0</v>
      </c>
      <c r="E33" s="348">
        <f>COUNTIFS(HousingStatusAtEntry,3,HousingStatusAtExit,4,LastEpisode,"Y")</f>
        <v>12</v>
      </c>
      <c r="F33" s="348">
        <f>COUNTIFS(HousingStatusAtEntry,3,HousingStatusAtExit,"&gt;=8",HousingStatusAtExit,"&lt;=9",LastEpisode,"Y")</f>
        <v>0</v>
      </c>
      <c r="G33" s="350">
        <f>COUNTIFS(HousingStatusAtEntry,3,HousingStatusAtExit,"",LastEpisode,"Y")</f>
        <v>6</v>
      </c>
    </row>
    <row r="34" spans="1:7">
      <c r="A34" s="352" t="s">
        <v>250</v>
      </c>
      <c r="B34" s="348">
        <f>COUNTIFS(HousingStatusAtEntry,4,HousingStatusAtExit,1,LastEpisode,"Y")</f>
        <v>0</v>
      </c>
      <c r="C34" s="348">
        <f>COUNTIFS(HousingStatusAtEntry,4,HousingStatusAtExit,2,LastEpisode,"Y")</f>
        <v>0</v>
      </c>
      <c r="D34" s="348">
        <f>COUNTIFS(HousingStatusAtEntry,4,HousingStatusAtExit,3,LastEpisode,"Y")</f>
        <v>0</v>
      </c>
      <c r="E34" s="348">
        <f>COUNTIFS(HousingStatusAtEntry,4,HousingStatusAtExit,4,LastEpisode,"Y")</f>
        <v>0</v>
      </c>
      <c r="F34" s="348">
        <f>COUNTIFS(HousingStatusAtEntry,4,HousingStatusAtExit,"&gt;=8",HousingStatusAtExit,"&lt;=9",LastEpisode,"Y")</f>
        <v>0</v>
      </c>
      <c r="G34" s="350">
        <f>COUNTIFS(HousingStatusAtEntry,4,HousingStatusAtExit,"",LastEpisode,"Y")</f>
        <v>1</v>
      </c>
    </row>
    <row r="35" spans="1:7">
      <c r="A35" s="352" t="s">
        <v>730</v>
      </c>
      <c r="B35" s="348">
        <f>COUNTIFS(HousingStatusAtEntry,"&gt;=8",HousingStatusAtEntry, "&lt;=9", HousingStatusAtExit,1,LastEpisode,"Y")</f>
        <v>0</v>
      </c>
      <c r="C35" s="348">
        <f>COUNTIFS(HousingStatusAtEntry,"&gt;=8",HousingStatusAtEntry, "&lt;=9", HousingStatusAtExit,2,LastEpisode,"Y")</f>
        <v>0</v>
      </c>
      <c r="D35" s="348">
        <f>COUNTIFS(HousingStatusAtEntry,"&gt;=8",HousingStatusAtEntry, "&lt;=9",HousingStatusAtExit,3,LastEpisode,"Y")</f>
        <v>0</v>
      </c>
      <c r="E35" s="348">
        <f>COUNTIFS(HousingStatusAtEntry,"&gt;=8",HousingStatusAtEntry, "&lt;=9",HousingStatusAtExit,4,LastEpisode,"Y")</f>
        <v>0</v>
      </c>
      <c r="F35" s="348">
        <f>COUNTIFS(HousingStatusAtEntry,"&gt;=8", HousingStatusAtEntry, "&lt;=9",HousingStatusAtExit,"&gt;=8",HousingStatusAtExit,"&lt;=9",LastEpisode,"Y")</f>
        <v>0</v>
      </c>
      <c r="G35" s="350">
        <f>COUNTIFS(HousingStatusAtEntry,"&gt;=8", HousingStatusAtEntry,"&lt;=9",HousingStatusAtExit,"",LastEpisode,"Y")</f>
        <v>0</v>
      </c>
    </row>
    <row r="36" spans="1:7">
      <c r="A36" s="352" t="s">
        <v>437</v>
      </c>
      <c r="B36" s="348">
        <f>COUNTIFS(HousingStatusAtEntry,"",HousingStatusAtExit,1,LastEpisode,"Y")</f>
        <v>0</v>
      </c>
      <c r="C36" s="348">
        <f>COUNTIFS(HousingStatusAtEntry,"",HousingStatusAtExit,2,LastEpisode,"Y")</f>
        <v>0</v>
      </c>
      <c r="D36" s="348">
        <f>COUNTIFS(HousingStatusAtEntry,"",HousingStatusAtExit,3,LastEpisode,"Y")</f>
        <v>0</v>
      </c>
      <c r="E36" s="348">
        <f>COUNTIFS(HousingStatusAtEntry,"",HousingStatusAtExit,4,LastEpisode,"Y")</f>
        <v>0</v>
      </c>
      <c r="F36" s="348">
        <f>COUNTIFS(HousingStatusAtEntry,"",HousingStatusAtExit,"&gt;=8", HousingStatusAtExit,"&lt;=9",LastEpisode,"Y")</f>
        <v>0</v>
      </c>
      <c r="G36" s="350">
        <f>COUNTIFS(HousingStatusAtEntry,"",HousingStatusAtExit,"",LastEpisode,"Y")</f>
        <v>0</v>
      </c>
    </row>
    <row r="37" spans="1:7" ht="15.75" thickBot="1">
      <c r="A37" s="222" t="s">
        <v>116</v>
      </c>
      <c r="B37" s="234">
        <f t="shared" ref="B37:G37" si="4">SUM(B30:B36)</f>
        <v>6</v>
      </c>
      <c r="C37" s="234">
        <f t="shared" si="4"/>
        <v>4</v>
      </c>
      <c r="D37" s="234">
        <f t="shared" si="4"/>
        <v>17</v>
      </c>
      <c r="E37" s="234">
        <f t="shared" si="4"/>
        <v>60</v>
      </c>
      <c r="F37" s="234">
        <f t="shared" si="4"/>
        <v>3</v>
      </c>
      <c r="G37" s="223">
        <f t="shared" si="4"/>
        <v>67</v>
      </c>
    </row>
    <row r="38" spans="1:7" ht="15.75" thickTop="1"/>
  </sheetData>
  <mergeCells count="33">
    <mergeCell ref="G31:G32"/>
    <mergeCell ref="B26:G27"/>
    <mergeCell ref="A26:A29"/>
    <mergeCell ref="D28:D29"/>
    <mergeCell ref="E28:E29"/>
    <mergeCell ref="F28:F29"/>
    <mergeCell ref="G28:G29"/>
    <mergeCell ref="A31:A32"/>
    <mergeCell ref="B31:B32"/>
    <mergeCell ref="C31:C32"/>
    <mergeCell ref="D31:D32"/>
    <mergeCell ref="E31:E32"/>
    <mergeCell ref="F31:F32"/>
    <mergeCell ref="A1:G1"/>
    <mergeCell ref="A2:G2"/>
    <mergeCell ref="A3:G3"/>
    <mergeCell ref="A4:A6"/>
    <mergeCell ref="B4:C5"/>
    <mergeCell ref="D21:E21"/>
    <mergeCell ref="C28:C29"/>
    <mergeCell ref="B28:B29"/>
    <mergeCell ref="F4:G5"/>
    <mergeCell ref="D4:E5"/>
    <mergeCell ref="A7:G7"/>
    <mergeCell ref="B20:C20"/>
    <mergeCell ref="F20:G20"/>
    <mergeCell ref="B21:C21"/>
    <mergeCell ref="F21:G21"/>
    <mergeCell ref="A19:G19"/>
    <mergeCell ref="D20:E20"/>
    <mergeCell ref="A23:G23"/>
    <mergeCell ref="A24:G24"/>
    <mergeCell ref="A25:G25"/>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codeName="Sheet18"/>
  <dimension ref="A1:H37"/>
  <sheetViews>
    <sheetView topLeftCell="A11" workbookViewId="0">
      <selection activeCell="I22" sqref="I22"/>
    </sheetView>
  </sheetViews>
  <sheetFormatPr defaultRowHeight="15"/>
  <cols>
    <col min="1" max="1" width="37" customWidth="1"/>
    <col min="2" max="2" width="7.140625" customWidth="1"/>
    <col min="3" max="3" width="6.7109375" customWidth="1"/>
    <col min="4" max="4" width="7.5703125" customWidth="1"/>
    <col min="5" max="5" width="7.85546875" customWidth="1"/>
    <col min="6" max="6" width="7.5703125" customWidth="1"/>
    <col min="7" max="7" width="6.7109375" customWidth="1"/>
    <col min="8" max="8" width="7.85546875" customWidth="1"/>
  </cols>
  <sheetData>
    <row r="1" spans="1:8" ht="15.75" thickTop="1">
      <c r="A1" s="517" t="s">
        <v>731</v>
      </c>
      <c r="B1" s="518"/>
      <c r="C1" s="518"/>
      <c r="D1" s="518"/>
      <c r="E1" s="518"/>
      <c r="F1" s="518"/>
      <c r="G1" s="518"/>
      <c r="H1" s="519"/>
    </row>
    <row r="2" spans="1:8" ht="13.5" customHeight="1">
      <c r="A2" s="728" t="s">
        <v>15</v>
      </c>
      <c r="B2" s="729"/>
      <c r="C2" s="729"/>
      <c r="D2" s="729"/>
      <c r="E2" s="729"/>
      <c r="F2" s="729"/>
      <c r="G2" s="729"/>
      <c r="H2" s="730"/>
    </row>
    <row r="3" spans="1:8" ht="12" customHeight="1" thickBot="1">
      <c r="A3" s="731" t="s">
        <v>732</v>
      </c>
      <c r="B3" s="732"/>
      <c r="C3" s="732"/>
      <c r="D3" s="732"/>
      <c r="E3" s="732"/>
      <c r="F3" s="732"/>
      <c r="G3" s="732"/>
      <c r="H3" s="733"/>
    </row>
    <row r="4" spans="1:8" ht="13.5" customHeight="1">
      <c r="A4" s="903" t="s">
        <v>113</v>
      </c>
      <c r="B4" s="739" t="s">
        <v>116</v>
      </c>
      <c r="C4" s="906" t="s">
        <v>755</v>
      </c>
      <c r="D4" s="906"/>
      <c r="E4" s="906" t="s">
        <v>756</v>
      </c>
      <c r="F4" s="906"/>
      <c r="G4" s="906"/>
      <c r="H4" s="907"/>
    </row>
    <row r="5" spans="1:8" ht="46.5" customHeight="1">
      <c r="A5" s="768"/>
      <c r="B5" s="740"/>
      <c r="C5" s="712"/>
      <c r="D5" s="712"/>
      <c r="E5" s="712" t="s">
        <v>733</v>
      </c>
      <c r="F5" s="712"/>
      <c r="G5" s="712" t="s">
        <v>734</v>
      </c>
      <c r="H5" s="713"/>
    </row>
    <row r="6" spans="1:8">
      <c r="A6" s="768"/>
      <c r="B6" s="740"/>
      <c r="C6" s="329" t="s">
        <v>735</v>
      </c>
      <c r="D6" s="224" t="s">
        <v>737</v>
      </c>
      <c r="E6" s="329" t="s">
        <v>735</v>
      </c>
      <c r="F6" s="329" t="s">
        <v>737</v>
      </c>
      <c r="G6" s="329" t="s">
        <v>735</v>
      </c>
      <c r="H6" s="225" t="s">
        <v>737</v>
      </c>
    </row>
    <row r="7" spans="1:8" ht="34.5">
      <c r="A7" s="768"/>
      <c r="B7" s="740"/>
      <c r="C7" s="329" t="s">
        <v>736</v>
      </c>
      <c r="D7" s="224" t="s">
        <v>738</v>
      </c>
      <c r="E7" s="329" t="s">
        <v>736</v>
      </c>
      <c r="F7" s="329" t="s">
        <v>738</v>
      </c>
      <c r="G7" s="329" t="s">
        <v>736</v>
      </c>
      <c r="H7" s="225" t="s">
        <v>738</v>
      </c>
    </row>
    <row r="8" spans="1:8">
      <c r="A8" s="332" t="s">
        <v>739</v>
      </c>
      <c r="B8" s="333"/>
      <c r="C8" s="333"/>
      <c r="D8" s="333"/>
      <c r="E8" s="333"/>
      <c r="F8" s="333"/>
      <c r="G8" s="333"/>
      <c r="H8" s="334"/>
    </row>
    <row r="9" spans="1:8" ht="15" customHeight="1">
      <c r="A9" s="352" t="s">
        <v>588</v>
      </c>
      <c r="B9" s="335">
        <f>COUNTIFS(Destination,11,LastEpisode,"Y")</f>
        <v>1</v>
      </c>
      <c r="C9" s="335">
        <f>COUNTIFS(Destination,11,HouseholdTypePP,"HHNoKids",ExitStatusPP,"L", LengthOfStay_PP,"&lt;=90",LastEpisode,"Y")</f>
        <v>0</v>
      </c>
      <c r="D9" s="335">
        <f>COUNTIFS(Destination,11,HouseholdTypePP,"HHNoKids",ExitStatusPP,"L", LengthOfStay_PP,"&gt;90",LastEpisode,"Y")</f>
        <v>0</v>
      </c>
      <c r="E9" s="335">
        <f>COUNTIFS(Destination,11,HouseholdTypePP,"AdultChild",ExitStatusPP,"L", LengthOfStay_PP,"&lt;=90",LastEpisode,"Y")</f>
        <v>0</v>
      </c>
      <c r="F9" s="335">
        <f>COUNTIFS(Destination,11,HouseholdTypePP,"AdultChild",ExitStatusPP,"L", LengthOfStay_PP,"&gt;90",LastEpisode,"Y")</f>
        <v>0</v>
      </c>
      <c r="G9" s="335">
        <f>COUNTIFS(Destination,11,HouseholdTypePP,"HHKidsOnly",ExitStatusPP,"L", LengthOfStay_PP,"&lt;=90",LastEpisode,"Y")</f>
        <v>0</v>
      </c>
      <c r="H9" s="336">
        <f>COUNTIFS(Destination,11,HouseholdTypePP,"HHKidsOnly",ExitStatusPP,"L", LengthOfStay_PP,"&gt;90",LastEpisode,"Y")</f>
        <v>0</v>
      </c>
    </row>
    <row r="10" spans="1:8" ht="15" customHeight="1">
      <c r="A10" s="352" t="s">
        <v>589</v>
      </c>
      <c r="B10" s="335">
        <f>COUNTIFS(Destination,21,LastEpisode,"Y")</f>
        <v>1</v>
      </c>
      <c r="C10" s="335">
        <f>COUNTIFS(Destination,21,HouseholdTypePP,"HHNoKids",ExitStatusPP,"L", LengthOfStay_PP,"&lt;=90",LastEpisode,"Y")</f>
        <v>0</v>
      </c>
      <c r="D10" s="335">
        <f>COUNTIFS(Destination,21,HouseholdTypePP,"HHNoKids",ExitStatusPP,"L", LengthOfStay_PP,"&gt;90",LastEpisode,"Y")</f>
        <v>0</v>
      </c>
      <c r="E10" s="335">
        <f>COUNTIFS(Destination,21,HouseholdTypePP,"AdultChild",ExitStatusPP,"L", LengthOfStay_PP,"&lt;=90",LastEpisode,"Y")</f>
        <v>0</v>
      </c>
      <c r="F10" s="335">
        <f>COUNTIFS(Destination,21,HouseholdTypePP,"AdultChild",ExitStatusPP,"L", LengthOfStay_PP,"&gt;90",LastEpisode,"Y")</f>
        <v>0</v>
      </c>
      <c r="G10" s="335">
        <f>COUNTIFS(Destination,21,HouseholdTypePP,"HHKidsOnly",ExitStatusPP,"L", LengthOfStay_PP,"&lt;=90",LastEpisode,"Y")</f>
        <v>0</v>
      </c>
      <c r="H10" s="336">
        <f>COUNTIFS(Destination,21,HouseholdTypePP,"HHKidsOnly",ExitStatusPP,"L", LengthOfStay_PP,"&gt;90",LastEpisode,"Y")</f>
        <v>0</v>
      </c>
    </row>
    <row r="11" spans="1:8" ht="15" customHeight="1">
      <c r="A11" s="352" t="s">
        <v>590</v>
      </c>
      <c r="B11" s="335">
        <f>COUNTIFS(Destination,10,LastEpisode,"Y")</f>
        <v>27</v>
      </c>
      <c r="C11" s="335">
        <f>COUNTIFS(Destination,10,HouseholdTypePP,"HHNoKids",ExitStatusPP,"L", LengthOfStay_PP,"&lt;=90",LastEpisode,"Y")</f>
        <v>0</v>
      </c>
      <c r="D11" s="335">
        <f>COUNTIFS(Destination,10,HouseholdTypePP,"HHNoKids",ExitStatusPP,"L", LengthOfStay_PP,"&gt;90",LastEpisode,"Y")</f>
        <v>0</v>
      </c>
      <c r="E11" s="335">
        <f>COUNTIFS(Destination,10,HouseholdTypePP,"AdultChild",ExitStatusPP,"L", LengthOfStay_PP,"&lt;=90",LastEpisode,"Y")</f>
        <v>0</v>
      </c>
      <c r="F11" s="335">
        <f>COUNTIFS(Destination,10,HouseholdTypePP,"AdultChild",ExitStatusPP,"L", LengthOfStay_PP,"&gt;90",LastEpisode,"Y")</f>
        <v>0</v>
      </c>
      <c r="G11" s="335">
        <f>COUNTIFS(Destination,10,HouseholdTypePP,"HHKidsOnly",ExitStatusPP,"L", LengthOfStay_PP,"&lt;=90",LastEpisode,"Y")</f>
        <v>0</v>
      </c>
      <c r="H11" s="336">
        <f>COUNTIFS(Destination,10,HouseholdTypePP,"HHKidsOnly",ExitStatusPP,"L", LengthOfStay_PP,"&gt;90",LastEpisode,"Y")</f>
        <v>0</v>
      </c>
    </row>
    <row r="12" spans="1:8" ht="15" customHeight="1">
      <c r="A12" s="352" t="s">
        <v>740</v>
      </c>
      <c r="B12" s="335">
        <f>COUNTIFS(Destination,19,LastEpisode,"Y")</f>
        <v>2</v>
      </c>
      <c r="C12" s="335">
        <f>COUNTIFS(Destination,19,HouseholdTypePP,"HHNoKids",ExitStatusPP,"L", LengthOfStay_PP,"&lt;=90",LastEpisode,"Y")</f>
        <v>0</v>
      </c>
      <c r="D12" s="335">
        <f>COUNTIFS(Destination,19,HouseholdTypePP,"HHNoKids",ExitStatusPP,"L", LengthOfStay_PP,"&gt;90",LastEpisode,"Y")</f>
        <v>0</v>
      </c>
      <c r="E12" s="335">
        <f>COUNTIFS(Destination,19,HouseholdTypePP,"AdultChild",ExitStatusPP,"L", LengthOfStay_PP,"&lt;=90",LastEpisode,"Y")</f>
        <v>0</v>
      </c>
      <c r="F12" s="335">
        <f>COUNTIFS(Destination,19,HouseholdTypePP,"AdultChild",ExitStatusPP,"L", LengthOfStay_PP,"&gt;90",LastEpisode,"Y")</f>
        <v>0</v>
      </c>
      <c r="G12" s="335">
        <f>COUNTIFS(Destination,19,HouseholdTypePP,"HHKidsOnly",ExitStatusPP,"L", LengthOfStay_PP,"&lt;=90",LastEpisode,"Y")</f>
        <v>0</v>
      </c>
      <c r="H12" s="336">
        <f>COUNTIFS(Destination,19,HouseholdTypePP,"HHKidsOnly",ExitStatusPP,"L", LengthOfStay_PP,"&gt;90",LastEpisode,"Y")</f>
        <v>0</v>
      </c>
    </row>
    <row r="13" spans="1:8" ht="26.1" customHeight="1">
      <c r="A13" s="352" t="s">
        <v>741</v>
      </c>
      <c r="B13" s="335">
        <f>COUNTIFS(Destination,20,LastEpisode,"Y")</f>
        <v>23</v>
      </c>
      <c r="C13" s="335">
        <f>COUNTIFS(Destination,20,HouseholdTypePP,"HHNoKids",ExitStatusPP,"L", LengthOfStay_PP,"&lt;=90",LastEpisode,"Y")</f>
        <v>0</v>
      </c>
      <c r="D13" s="335">
        <f>COUNTIFS(Destination,20,HouseholdTypePP,"HHNoKids",ExitStatusPP,"L", LengthOfStay_PP,"&gt;90",LastEpisode,"Y")</f>
        <v>0</v>
      </c>
      <c r="E13" s="335">
        <f>COUNTIFS(Destination,20,HouseholdTypePP,"AdultChild",ExitStatusPP,"L", LengthOfStay_PP,"&lt;=90",LastEpisode,"Y")</f>
        <v>0</v>
      </c>
      <c r="F13" s="335">
        <f>COUNTIFS(Destination,20,HouseholdTypePP,"AdultChild",ExitStatusPP,"L", LengthOfStay_PP,"&gt;90",LastEpisode,"Y")</f>
        <v>0</v>
      </c>
      <c r="G13" s="335">
        <f>COUNTIFS(Destination,20,HouseholdTypePP,"HHKidsOnly",ExitStatusPP,"L", LengthOfStay_PP,"&lt;=90",LastEpisode,"Y")</f>
        <v>0</v>
      </c>
      <c r="H13" s="336">
        <f>COUNTIFS(Destination,20,HouseholdTypePP,"HHKidsOnly",ExitStatusPP,"L", LengthOfStay_PP,"&gt;90",LastEpisode,"Y")</f>
        <v>0</v>
      </c>
    </row>
    <row r="14" spans="1:8" ht="26.1" customHeight="1">
      <c r="A14" s="352" t="s">
        <v>742</v>
      </c>
      <c r="B14" s="335">
        <f>COUNTIFS(Destination,3,LastEpisode,"Y")</f>
        <v>8</v>
      </c>
      <c r="C14" s="335">
        <f>COUNTIFS(Destination,3,HouseholdTypePP,"HHNoKids",ExitStatusPP,"L", LengthOfStay_PP,"&lt;=90",LastEpisode,"Y")</f>
        <v>0</v>
      </c>
      <c r="D14" s="335">
        <f>COUNTIFS(Destination,3,HouseholdTypePP,"HHNoKids",ExitStatusPP,"L", LengthOfStay_PP,"&gt;90",LastEpisode,"Y")</f>
        <v>0</v>
      </c>
      <c r="E14" s="335">
        <f>COUNTIFS(Destination,3,HouseholdTypePP,"AdultChild",ExitStatusPP,"L", LengthOfStay_PP,"&lt;=90",LastEpisode,"Y")</f>
        <v>0</v>
      </c>
      <c r="F14" s="335">
        <f>COUNTIFS(Destination,3,HouseholdTypePP,"AdultChild",ExitStatusPP,"L", LengthOfStay_PP,"&gt;90",LastEpisode,"Y")</f>
        <v>0</v>
      </c>
      <c r="G14" s="335">
        <f>COUNTIFS(Destination,3,HouseholdTypePP,"HHKidsOnly",ExitStatusPP,"L", LengthOfStay_PP,"&lt;=90",LastEpisode,"Y")</f>
        <v>0</v>
      </c>
      <c r="H14" s="336">
        <f>COUNTIFS(Destination,3,HouseholdTypePP,"HHKidsOnly",ExitStatusPP,"L", LengthOfStay_PP,"&gt;90",LastEpisode,"Y")</f>
        <v>0</v>
      </c>
    </row>
    <row r="15" spans="1:8" ht="15" customHeight="1">
      <c r="A15" s="352" t="s">
        <v>743</v>
      </c>
      <c r="B15" s="335">
        <f>COUNTIFS(Destination,22,LastEpisode,"Y")</f>
        <v>3</v>
      </c>
      <c r="C15" s="335">
        <f>COUNTIFS(Destination,22,HouseholdTypePP,"HHNoKids",ExitStatusPP,"L", LengthOfStay_PP,"&lt;=90",LastEpisode,"Y")</f>
        <v>0</v>
      </c>
      <c r="D15" s="335">
        <f>COUNTIFS(Destination,22,HouseholdTypePP,"HHNoKids",ExitStatusPP,"L", LengthOfStay_PP,"&gt;90",LastEpisode,"Y")</f>
        <v>0</v>
      </c>
      <c r="E15" s="335">
        <f>COUNTIFS(Destination,22,HouseholdTypePP,"AdultChild",ExitStatusPP,"L", LengthOfStay_PP,"&lt;=90",LastEpisode,"Y")</f>
        <v>0</v>
      </c>
      <c r="F15" s="335">
        <f>COUNTIFS(Destination,22,HouseholdTypePP,"AdultChild",ExitStatusPP,"L", LengthOfStay_PP,"&gt;90",LastEpisode,"Y")</f>
        <v>0</v>
      </c>
      <c r="G15" s="335">
        <f>COUNTIFS(Destination,22,HouseholdTypePP,"HHKidsOnly",ExitStatusPP,"L", LengthOfStay_PP,"&lt;=90",LastEpisode,"Y")</f>
        <v>0</v>
      </c>
      <c r="H15" s="336">
        <f>COUNTIFS(Destination,22,HouseholdTypePP,"HHKidsOnly",ExitStatusPP,"L", LengthOfStay_PP,"&gt;90",LastEpisode,"Y")</f>
        <v>0</v>
      </c>
    </row>
    <row r="16" spans="1:8" ht="15" customHeight="1">
      <c r="A16" s="352" t="s">
        <v>744</v>
      </c>
      <c r="B16" s="335">
        <f>COUNTIFS(Destination,23,LastEpisode,"Y")</f>
        <v>2</v>
      </c>
      <c r="C16" s="335">
        <f>COUNTIFS(Destination,23,HouseholdTypePP,"HHNoKids",ExitStatusPP,"L", LengthOfStay_PP,"&lt;=90",LastEpisode,"Y")</f>
        <v>0</v>
      </c>
      <c r="D16" s="335">
        <f>COUNTIFS(Destination,23,HouseholdTypePP,"HHNoKids",ExitStatusPP,"L", LengthOfStay_PP,"&gt;90",LastEpisode,"Y")</f>
        <v>0</v>
      </c>
      <c r="E16" s="335">
        <f>COUNTIFS(Destination,23,HouseholdTypePP,"AdultChild",ExitStatusPP,"L", LengthOfStay_PP,"&lt;=90",LastEpisode,"Y")</f>
        <v>0</v>
      </c>
      <c r="F16" s="335">
        <f>COUNTIFS(Destination,23,HouseholdTypePP,"AdultChild",ExitStatusPP,"L", LengthOfStay_PP,"&gt;90",LastEpisode,"Y")</f>
        <v>0</v>
      </c>
      <c r="G16" s="335">
        <f>COUNTIFS(Destination,23,HouseholdTypePP,"HHKidsOnly",ExitStatusPP,"L", LengthOfStay_PP,"&lt;=90",LastEpisode,"Y")</f>
        <v>0</v>
      </c>
      <c r="H16" s="336">
        <f>COUNTIFS(Destination,23,HouseholdTypePP,"HHKidsOnly",ExitStatusPP,"L", LengthOfStay_PP,"&gt;90",LastEpisode,"Y")</f>
        <v>0</v>
      </c>
    </row>
    <row r="17" spans="1:8" ht="15" customHeight="1">
      <c r="A17" s="332" t="s">
        <v>745</v>
      </c>
      <c r="B17" s="333"/>
      <c r="C17" s="333"/>
      <c r="D17" s="333"/>
      <c r="E17" s="333"/>
      <c r="F17" s="333"/>
      <c r="G17" s="333"/>
      <c r="H17" s="334"/>
    </row>
    <row r="18" spans="1:8" ht="26.1" customHeight="1">
      <c r="A18" s="352" t="s">
        <v>746</v>
      </c>
      <c r="B18" s="335">
        <f>COUNTIFS(Destination,1,LastEpisode,"Y")</f>
        <v>2</v>
      </c>
      <c r="C18" s="335">
        <f>COUNTIFS(Destination,1,HouseholdTypePP,"HHNoKids",ExitStatusPP,"L", LengthOfStay_PP,"&lt;=90",LastEpisode,"Y")</f>
        <v>0</v>
      </c>
      <c r="D18" s="335">
        <f>COUNTIFS(Destination,1,HouseholdTypePP,"HHNoKids",ExitStatusPP,"L", LengthOfStay_PP,"&gt;90",LastEpisode,"Y")</f>
        <v>0</v>
      </c>
      <c r="E18" s="335">
        <f>COUNTIFS(Destination,1,HouseholdTypePP,"AdultChild",ExitStatusPP,"L", LengthOfStay_PP,"&lt;=90",LastEpisode,"Y")</f>
        <v>0</v>
      </c>
      <c r="F18" s="335">
        <f>COUNTIFS(Destination,1,HouseholdTypePP,"AdultChild",ExitStatusPP,"L", LengthOfStay_PP,"&gt;90",LastEpisode,"Y")</f>
        <v>0</v>
      </c>
      <c r="G18" s="335">
        <f>COUNTIFS(Destination,1,HouseholdTypePP,"HHKidsOnly",ExitStatusPP,"L", LengthOfStay_PP,"&lt;=90",LastEpisode,"Y")</f>
        <v>0</v>
      </c>
      <c r="H18" s="336">
        <f>COUNTIFS(Destination,1,HouseholdTypePP,"HHKidsOnly",ExitStatusPP,"L", LengthOfStay_PP,"&gt;90",LastEpisode,"Y")</f>
        <v>0</v>
      </c>
    </row>
    <row r="19" spans="1:8" ht="15" customHeight="1">
      <c r="A19" s="352" t="s">
        <v>577</v>
      </c>
      <c r="B19" s="335">
        <f>COUNTIFS(Destination,2,LastEpisode,"Y")</f>
        <v>2</v>
      </c>
      <c r="C19" s="335">
        <f>COUNTIFS(Destination,2,HouseholdTypePP,"HHNoKids",ExitStatusPP,"L", LengthOfStay_PP,"&lt;=90",LastEpisode,"Y")</f>
        <v>0</v>
      </c>
      <c r="D19" s="335">
        <f>COUNTIFS(Destination,2,HouseholdTypePP,"HHNoKids",ExitStatusPP,"L", LengthOfStay_PP,"&gt;90",LastEpisode,"Y")</f>
        <v>0</v>
      </c>
      <c r="E19" s="335">
        <f>COUNTIFS(Destination,2,HouseholdTypePP,"AdultChild",ExitStatusPP,"L", LengthOfStay_PP,"&lt;=90",LastEpisode,"Y")</f>
        <v>0</v>
      </c>
      <c r="F19" s="335">
        <f>COUNTIFS(Destination,2,HouseholdTypePP,"AdultChild",ExitStatusPP,"L", LengthOfStay_PP,"&gt;90",LastEpisode,"Y")</f>
        <v>0</v>
      </c>
      <c r="G19" s="335">
        <f>COUNTIFS(Destination,2,HouseholdTypePP,"HHKidsOnly",ExitStatusPP,"L", LengthOfStay_PP,"&lt;=90",LastEpisode,"Y")</f>
        <v>0</v>
      </c>
      <c r="H19" s="336">
        <f>COUNTIFS(Destination,2,HouseholdTypePP,"HHKidsOnly",ExitStatusPP,"L", LengthOfStay_PP,"&gt;90",LastEpisode,"Y")</f>
        <v>0</v>
      </c>
    </row>
    <row r="20" spans="1:8" ht="26.1" customHeight="1">
      <c r="A20" s="352" t="s">
        <v>747</v>
      </c>
      <c r="B20" s="335">
        <f>COUNTIFS(Destination,12,LastEpisode,"Y")</f>
        <v>17</v>
      </c>
      <c r="C20" s="335">
        <f>COUNTIFS(Destination,12,HouseholdTypePP,"HHNoKids",ExitStatusPP,"L", LengthOfStay_PP,"&lt;=90",LastEpisode,"Y")</f>
        <v>0</v>
      </c>
      <c r="D20" s="335">
        <f>COUNTIFS(Destination,12,HouseholdTypePP,"HHNoKids",ExitStatusPP,"L", LengthOfStay_PP,"&gt;90",LastEpisode,"Y")</f>
        <v>0</v>
      </c>
      <c r="E20" s="335">
        <f>COUNTIFS(Destination,12,HouseholdTypePP,"AdultChild",ExitStatusPP,"L", LengthOfStay_PP,"&lt;=90",LastEpisode,"Y")</f>
        <v>0</v>
      </c>
      <c r="F20" s="335">
        <f>COUNTIFS(Destination,12,HouseholdTypePP,"AdultChild",ExitStatusPP,"L", LengthOfStay_PP,"&gt;90",LastEpisode,"Y")</f>
        <v>0</v>
      </c>
      <c r="G20" s="335">
        <f>COUNTIFS(Destination,12,HouseholdTypePP,"HHKidsOnly",ExitStatusPP,"L", LengthOfStay_PP,"&lt;=90",LastEpisode,"Y")</f>
        <v>0</v>
      </c>
      <c r="H20" s="336">
        <f>COUNTIFS(Destination,12,HouseholdTypePP,"HHKidsOnly",ExitStatusPP,"L", LengthOfStay_PP,"&gt;90",LastEpisode,"Y")</f>
        <v>0</v>
      </c>
    </row>
    <row r="21" spans="1:8" ht="26.1" customHeight="1">
      <c r="A21" s="352" t="s">
        <v>748</v>
      </c>
      <c r="B21" s="335">
        <f>COUNTIFS(Destination,13,LastEpisode,"Y")</f>
        <v>9</v>
      </c>
      <c r="C21" s="335">
        <f>COUNTIFS(Destination,13,HouseholdTypePP,"HHNoKids",ExitStatusPP,"L", LengthOfStay_PP,"&lt;=90",LastEpisode,"Y")</f>
        <v>0</v>
      </c>
      <c r="D21" s="335">
        <f>COUNTIFS(Destination,13,HouseholdTypePP,"HHNoKids",ExitStatusPP,"L", LengthOfStay_PP,"&gt;90",LastEpisode,"Y")</f>
        <v>0</v>
      </c>
      <c r="E21" s="335">
        <f>COUNTIFS(Destination,13,HouseholdTypePP,"AdultChild",ExitStatusPP,"L", LengthOfStay_PP,"&lt;=90",LastEpisode,"Y")</f>
        <v>0</v>
      </c>
      <c r="F21" s="335">
        <f>COUNTIFS(Destination,13,HouseholdTypePP,"AdultChild",ExitStatusPP,"L", LengthOfStay_PP,"&gt;90",LastEpisode,"Y")</f>
        <v>0</v>
      </c>
      <c r="G21" s="335">
        <f>COUNTIFS(Destination,13,HouseholdTypePP,"HHKidsOnly",ExitStatusPP,"L", LengthOfStay_PP,"&lt;=90",LastEpisode,"Y")</f>
        <v>0</v>
      </c>
      <c r="H21" s="336">
        <f>COUNTIFS(Destination,13,HouseholdTypePP,"HHKidsOnly",ExitStatusPP,"L", LengthOfStay_PP,"&gt;90",LastEpisode,"Y")</f>
        <v>0</v>
      </c>
    </row>
    <row r="22" spans="1:8" ht="39" customHeight="1">
      <c r="A22" s="352" t="s">
        <v>749</v>
      </c>
      <c r="B22" s="335">
        <f>COUNTIFS(Destination,16,LastEpisode,"Y")</f>
        <v>1</v>
      </c>
      <c r="C22" s="335">
        <f>COUNTIFS(Destination,16,HouseholdTypePP,"HHNoKids",ExitStatusPP,"L", LengthOfStay_PP,"&lt;=90",LastEpisode,"Y")</f>
        <v>0</v>
      </c>
      <c r="D22" s="335">
        <f>COUNTIFS(Destination,16,HouseholdTypePP,"HHNoKids",ExitStatusPP,"L", LengthOfStay_PP,"&gt;90",LastEpisode,"Y")</f>
        <v>0</v>
      </c>
      <c r="E22" s="335">
        <f>COUNTIFS(Destination,16,HouseholdTypePP,"AdultChild",ExitStatusPP,"L", LengthOfStay_PP,"&lt;=90",LastEpisode,"Y")</f>
        <v>0</v>
      </c>
      <c r="F22" s="335">
        <f>COUNTIFS(Destination,16,HouseholdTypePP,"AdultChild",ExitStatusPP,"L", LengthOfStay_PP,"&gt;90",LastEpisode,"Y")</f>
        <v>0</v>
      </c>
      <c r="G22" s="335">
        <f>COUNTIFS(Destination,16,HouseholdTypePP,"HHKidsOnly",ExitStatusPP,"L", LengthOfStay_PP,"&lt;=90",LastEpisode,"Y")</f>
        <v>0</v>
      </c>
      <c r="H22" s="336">
        <f>COUNTIFS(Destination,16,HouseholdTypePP,"HHKidsOnly",ExitStatusPP,"L", LengthOfStay_PP,"&gt;90",LastEpisode,"Y")</f>
        <v>0</v>
      </c>
    </row>
    <row r="23" spans="1:8" ht="15" customHeight="1">
      <c r="A23" s="352" t="s">
        <v>579</v>
      </c>
      <c r="B23" s="335">
        <f>COUNTIFS(Destination,18,LastEpisode,"Y")</f>
        <v>0</v>
      </c>
      <c r="C23" s="335">
        <f>COUNTIFS(Destination,18,HouseholdTypePP,"HHNoKids",ExitStatusPP,"L", LengthOfStay_PP,"&lt;=90",LastEpisode,"Y")</f>
        <v>0</v>
      </c>
      <c r="D23" s="335">
        <f>COUNTIFS(Destination,18,HouseholdTypePP,"HHNoKids",ExitStatusPP,"L", LengthOfStay_PP,"&gt;90",LastEpisode,"Y")</f>
        <v>0</v>
      </c>
      <c r="E23" s="335">
        <f>COUNTIFS(Destination,18,HouseholdTypePP,"AdultChild",ExitStatusPP,"L", LengthOfStay_PP,"&lt;=90",LastEpisode,"Y")</f>
        <v>0</v>
      </c>
      <c r="F23" s="335">
        <f>COUNTIFS(Destination,18,HouseholdTypePP,"AdultChild",ExitStatusPP,"L", LengthOfStay_PP,"&gt;90",LastEpisode,"Y")</f>
        <v>0</v>
      </c>
      <c r="G23" s="335">
        <f>COUNTIFS(Destination,18,HouseholdTypePP,"HHKidsOnly",ExitStatusPP,"L", LengthOfStay_PP,"&lt;=90",LastEpisode,"Y")</f>
        <v>0</v>
      </c>
      <c r="H23" s="336">
        <f>COUNTIFS(Destination,18,HouseholdTypePP,"HHKidsOnly",ExitStatusPP,"L", LengthOfStay_PP,"&gt;90",LastEpisode,"Y")</f>
        <v>0</v>
      </c>
    </row>
    <row r="24" spans="1:8" ht="26.1" customHeight="1">
      <c r="A24" s="352" t="s">
        <v>593</v>
      </c>
      <c r="B24" s="335">
        <f>COUNTIFS(Destination,14,LastEpisode,"Y")</f>
        <v>1</v>
      </c>
      <c r="C24" s="335">
        <f>COUNTIFS(Destination,14,HouseholdTypePP,"HHNoKids",ExitStatusPP,"L", LengthOfStay_PP,"&lt;=90",LastEpisode,"Y")</f>
        <v>0</v>
      </c>
      <c r="D24" s="335">
        <f>COUNTIFS(Destination,14,HouseholdTypePP,"HHNoKids",ExitStatusPP,"L", LengthOfStay_PP,"&gt;90",LastEpisode,"Y")</f>
        <v>0</v>
      </c>
      <c r="E24" s="335">
        <f>COUNTIFS(Destination,14,HouseholdTypePP,"AdultChild",ExitStatusPP,"L", LengthOfStay_PP,"&lt;=90",LastEpisode,"Y")</f>
        <v>0</v>
      </c>
      <c r="F24" s="335">
        <f>COUNTIFS(Destination,14,HouseholdTypePP,"AdultChild",ExitStatusPP,"L", LengthOfStay_PP,"&gt;90",LastEpisode,"Y")</f>
        <v>0</v>
      </c>
      <c r="G24" s="335">
        <f>COUNTIFS(Destination,14,HouseholdTypePP,"HHKidsOnly",ExitStatusPP,"L", LengthOfStay_PP,"&lt;=90",LastEpisode,"Y")</f>
        <v>0</v>
      </c>
      <c r="H24" s="336">
        <f>COUNTIFS(Destination,14,HouseholdTypePP,"HHKidsOnly",ExitStatusPP,"L", LengthOfStay_PP,"&gt;90",LastEpisode,"Y")</f>
        <v>0</v>
      </c>
    </row>
    <row r="25" spans="1:8" ht="15" customHeight="1">
      <c r="A25" s="337" t="s">
        <v>750</v>
      </c>
      <c r="B25" s="338"/>
      <c r="C25" s="338"/>
      <c r="D25" s="338"/>
      <c r="E25" s="338"/>
      <c r="F25" s="338"/>
      <c r="G25" s="338"/>
      <c r="H25" s="339"/>
    </row>
    <row r="26" spans="1:8" ht="15" customHeight="1">
      <c r="A26" s="352" t="s">
        <v>585</v>
      </c>
      <c r="B26" s="335">
        <f>COUNTIFS(Destination,15,LastEpisode,"Y")</f>
        <v>3</v>
      </c>
      <c r="C26" s="335">
        <f>COUNTIFS(Destination,15,HouseholdTypePP,"HHNoKids",ExitStatusPP,"L", LengthOfStay_PP,"&lt;=90",LastEpisode,"Y")</f>
        <v>0</v>
      </c>
      <c r="D26" s="335">
        <f>COUNTIFS(Destination,15,HouseholdTypePP,"HHNoKids",ExitStatusPP,"L", LengthOfStay_PP,"&gt;90",LastEpisode,"Y")</f>
        <v>0</v>
      </c>
      <c r="E26" s="335">
        <f>COUNTIFS(Destination,15,HouseholdTypePP,"AdultChild",ExitStatusPP,"L", LengthOfStay_PP,"&lt;=90",LastEpisode,"Y")</f>
        <v>0</v>
      </c>
      <c r="F26" s="335">
        <f>COUNTIFS(Destination,15,HouseholdTypePP,"AdultChild",ExitStatusPP,"L", LengthOfStay_PP,"&gt;90",LastEpisode,"Y")</f>
        <v>0</v>
      </c>
      <c r="G26" s="335">
        <f>COUNTIFS(Destination,15,HouseholdTypePP,"HHKidsOnly",ExitStatusPP,"L", LengthOfStay_PP,"&lt;=90",LastEpisode,"Y")</f>
        <v>0</v>
      </c>
      <c r="H26" s="336">
        <f>COUNTIFS(Destination,15,HouseholdTypePP,"HHKidsOnly",ExitStatusPP,"L", LengthOfStay_PP,"&gt;90",LastEpisode,"Y")</f>
        <v>0</v>
      </c>
    </row>
    <row r="27" spans="1:8" ht="15" customHeight="1">
      <c r="A27" s="352" t="s">
        <v>581</v>
      </c>
      <c r="B27" s="335">
        <f>COUNTIFS(Destination,4,LastEpisode,"Y")</f>
        <v>1</v>
      </c>
      <c r="C27" s="335">
        <f>COUNTIFS(Destination,4,HouseholdTypePP,"HHNoKids",ExitStatusPP,"L", LengthOfStay_PP,"&lt;=90",LastEpisode,"Y")</f>
        <v>0</v>
      </c>
      <c r="D27" s="335">
        <f>COUNTIFS(Destination,4,HouseholdTypePP,"HHNoKids",ExitStatusPP,"L", LengthOfStay_PP,"&gt;90",LastEpisode,"Y")</f>
        <v>0</v>
      </c>
      <c r="E27" s="335">
        <f>COUNTIFS(Destination,4,HouseholdTypePP,"AdultChild",ExitStatusPP,"L", LengthOfStay_PP,"&lt;=90",LastEpisode,"Y")</f>
        <v>0</v>
      </c>
      <c r="F27" s="335">
        <f>COUNTIFS(Destination,4,HouseholdTypePP,"AdultChild",ExitStatusPP,"L", LengthOfStay_PP,"&gt;90",LastEpisode,"Y")</f>
        <v>0</v>
      </c>
      <c r="G27" s="335">
        <f>COUNTIFS(Destination,4,HouseholdTypePP,"HHKidsOnly",ExitStatusPP,"L", LengthOfStay_PP,"&lt;=90",LastEpisode,"Y")</f>
        <v>0</v>
      </c>
      <c r="H27" s="336">
        <f>COUNTIFS(Destination,4,HouseholdTypePP,"HHKidsOnly",ExitStatusPP,"L", LengthOfStay_PP,"&gt;90",LastEpisode,"Y")</f>
        <v>0</v>
      </c>
    </row>
    <row r="28" spans="1:8" ht="15" customHeight="1">
      <c r="A28" s="352" t="s">
        <v>582</v>
      </c>
      <c r="B28" s="335">
        <f>COUNTIFS(Destination,5,LastEpisode,"Y")</f>
        <v>1</v>
      </c>
      <c r="C28" s="335">
        <f>COUNTIFS(Destination,5,HouseholdTypePP,"HHNoKids",ExitStatusPP,"L", LengthOfStay_PP,"&lt;=90",LastEpisode,"Y")</f>
        <v>0</v>
      </c>
      <c r="D28" s="335">
        <f>COUNTIFS(Destination,5,HouseholdTypePP,"HHNoKids",ExitStatusPP,"L", LengthOfStay_PP,"&gt;90",LastEpisode,"Y")</f>
        <v>0</v>
      </c>
      <c r="E28" s="335">
        <f>COUNTIFS(Destination,5,HouseholdTypePP,"AdultChild",ExitStatusPP,"L", LengthOfStay_PP,"&lt;=90",LastEpisode,"Y")</f>
        <v>0</v>
      </c>
      <c r="F28" s="335">
        <f>COUNTIFS(Destination,5,HouseholdTypePP,"AdultChild",ExitStatusPP,"L", LengthOfStay_PP,"&gt;90",LastEpisode,"Y")</f>
        <v>0</v>
      </c>
      <c r="G28" s="335">
        <f>COUNTIFS(Destination,5,HouseholdTypePP,"HHKidsOnly",ExitStatusPP,"L", LengthOfStay_PP,"&lt;=90",LastEpisode,"Y")</f>
        <v>0</v>
      </c>
      <c r="H28" s="336">
        <f>COUNTIFS(Destination,5,HouseholdTypePP,"HHKidsOnly",ExitStatusPP,"L", LengthOfStay_PP,"&gt;90",LastEpisode,"Y")</f>
        <v>0</v>
      </c>
    </row>
    <row r="29" spans="1:8" ht="15" customHeight="1">
      <c r="A29" s="352" t="s">
        <v>583</v>
      </c>
      <c r="B29" s="335">
        <f>COUNTIFS(Destination,6,LastEpisode,"Y")</f>
        <v>1</v>
      </c>
      <c r="C29" s="335">
        <f>COUNTIFS(Destination,6,HouseholdTypePP,"HHNoKids",ExitStatusPP,"L", LengthOfStay_PP,"&lt;=90",LastEpisode,"Y")</f>
        <v>0</v>
      </c>
      <c r="D29" s="335">
        <f>COUNTIFS(Destination,6,HouseholdTypePP,"HHNoKids",ExitStatusPP,"L", LengthOfStay_PP,"&gt;90",LastEpisode,"Y")</f>
        <v>0</v>
      </c>
      <c r="E29" s="335">
        <f>COUNTIFS(Destination,6,HouseholdTypePP,"AdultChild",ExitStatusPP,"L", LengthOfStay_PP,"&lt;=90",LastEpisode,"Y")</f>
        <v>0</v>
      </c>
      <c r="F29" s="335">
        <f>COUNTIFS(Destination,6,HouseholdTypePP,"AdultChild",ExitStatusPP,"L", LengthOfStay_PP,"&gt;90",LastEpisode,"Y")</f>
        <v>0</v>
      </c>
      <c r="G29" s="335">
        <f>COUNTIFS(Destination,6,HouseholdTypePP,"HHKidsOnly",ExitStatusPP,"L", LengthOfStay_PP,"&lt;=90",LastEpisode,"Y")</f>
        <v>0</v>
      </c>
      <c r="H29" s="336">
        <f>COUNTIFS(Destination,6,HouseholdTypePP,"HHKidsOnly",ExitStatusPP,"L", LengthOfStay_PP,"&gt;90",LastEpisode,"Y")</f>
        <v>0</v>
      </c>
    </row>
    <row r="30" spans="1:8" ht="15" customHeight="1">
      <c r="A30" s="352" t="s">
        <v>751</v>
      </c>
      <c r="B30" s="335">
        <f>COUNTIFS(Destination,7,LastEpisode,"Y")</f>
        <v>1</v>
      </c>
      <c r="C30" s="335">
        <f>COUNTIFS(Destination,7,HouseholdTypePP,"HHNoKids",ExitStatusPP,"L", LengthOfStay_PP,"&lt;=90",LastEpisode,"Y")</f>
        <v>0</v>
      </c>
      <c r="D30" s="335">
        <f>COUNTIFS(Destination,7,HouseholdTypePP,"HHNoKids",ExitStatusPP,"L", LengthOfStay_PP,"&gt;90",LastEpisode,"Y")</f>
        <v>0</v>
      </c>
      <c r="E30" s="335">
        <f>COUNTIFS(Destination,7,HouseholdTypePP,"AdultChild",ExitStatusPP,"L", LengthOfStay_PP,"&lt;=90",LastEpisode,"Y")</f>
        <v>0</v>
      </c>
      <c r="F30" s="335">
        <f>COUNTIFS(Destination,7,HouseholdTypePP,"AdultChild",ExitStatusPP,"L", LengthOfStay_PP,"&gt;90",LastEpisode,"Y")</f>
        <v>0</v>
      </c>
      <c r="G30" s="335">
        <f>COUNTIFS(Destination,7,HouseholdTypePP,"HHKidsOnly",ExitStatusPP,"L", LengthOfStay_PP,"&lt;=90",LastEpisode,"Y")</f>
        <v>0</v>
      </c>
      <c r="H30" s="336">
        <f>COUNTIFS(Destination,7,HouseholdTypePP,"HHKidsOnly",ExitStatusPP,"L", LengthOfStay_PP,"&gt;90",LastEpisode,"Y")</f>
        <v>0</v>
      </c>
    </row>
    <row r="31" spans="1:8" ht="15" customHeight="1">
      <c r="A31" s="332" t="s">
        <v>752</v>
      </c>
      <c r="B31" s="333"/>
      <c r="C31" s="333"/>
      <c r="D31" s="333"/>
      <c r="E31" s="333"/>
      <c r="F31" s="333"/>
      <c r="G31" s="333"/>
      <c r="H31" s="334"/>
    </row>
    <row r="32" spans="1:8" ht="15" customHeight="1">
      <c r="A32" s="352" t="s">
        <v>753</v>
      </c>
      <c r="B32" s="335">
        <f>COUNTIFS(Destination,24,LastEpisode,"Y")</f>
        <v>1</v>
      </c>
      <c r="C32" s="335">
        <f>COUNTIFS(Destination,24,HouseholdTypePP,"HHNoKids",ExitStatusPP,"L", LengthOfStay_PP,"&lt;=90",LastEpisode,"Y")</f>
        <v>0</v>
      </c>
      <c r="D32" s="335">
        <f>COUNTIFS(Destination,24,HouseholdTypePP,"HHNoKids",ExitStatusPP,"L", LengthOfStay_PP,"&gt;90",LastEpisode,"Y")</f>
        <v>0</v>
      </c>
      <c r="E32" s="335">
        <f>COUNTIFS(Destination,24,HouseholdTypePP,"AdultChild",ExitStatusPP,"L", LengthOfStay_PP,"&lt;=90",LastEpisode,"Y")</f>
        <v>0</v>
      </c>
      <c r="F32" s="335">
        <f>COUNTIFS(Destination,24,HouseholdTypePP,"AdultChild",ExitStatusPP,"L", LengthOfStay_PP,"&gt;90",LastEpisode,"Y")</f>
        <v>0</v>
      </c>
      <c r="G32" s="335">
        <f>COUNTIFS(Destination,24,HouseholdTypePP,"HHKidsOnly",ExitStatusPP,"L", LengthOfStay_PP,"&lt;=90",LastEpisode,"Y")</f>
        <v>0</v>
      </c>
      <c r="H32" s="336">
        <f>COUNTIFS(Destination,24,HouseholdTypePP,"HHKidsOnly",ExitStatusPP,"L", LengthOfStay_PP,"&gt;90",LastEpisode,"Y")</f>
        <v>0</v>
      </c>
    </row>
    <row r="33" spans="1:8" ht="15" customHeight="1">
      <c r="A33" s="352" t="s">
        <v>754</v>
      </c>
      <c r="B33" s="335">
        <f>COUNTIFS(Destination,17,LastEpisode,"Y")</f>
        <v>6</v>
      </c>
      <c r="C33" s="335">
        <f>COUNTIFS(Destination,17,HouseholdTypePP,"HHNoKids",ExitStatusPP,"L", LengthOfStay_PP,"&lt;=90",LastEpisode,"Y")</f>
        <v>0</v>
      </c>
      <c r="D33" s="335">
        <f>COUNTIFS(Destination,17,HouseholdTypePP,"HHNoKids",ExitStatusPP,"L", LengthOfStay_PP,"&gt;90",LastEpisode,"Y")</f>
        <v>0</v>
      </c>
      <c r="E33" s="335">
        <f>COUNTIFS(Destination,17,HouseholdTypePP,"AdultChild",ExitStatusPP,"L", LengthOfStay_PP,"&lt;=90",LastEpisode,"Y")</f>
        <v>0</v>
      </c>
      <c r="F33" s="335">
        <f>COUNTIFS(Destination,17,HouseholdTypePP,"AdultChild",ExitStatusPP,"L", LengthOfStay_PP,"&gt;90",LastEpisode,"Y")</f>
        <v>0</v>
      </c>
      <c r="G33" s="335">
        <f>COUNTIFS(Destination,17,HouseholdTypePP,"HHKidsOnly",ExitStatusPP,"L", LengthOfStay_PP,"&lt;=90",LastEpisode,"Y")</f>
        <v>0</v>
      </c>
      <c r="H33" s="336">
        <f>COUNTIFS(Destination,17,HouseholdTypePP,"HHKidsOnly",ExitStatusPP,"L", LengthOfStay_PP,"&gt;90",LastEpisode,"Y")</f>
        <v>0</v>
      </c>
    </row>
    <row r="34" spans="1:8" ht="15" customHeight="1">
      <c r="A34" s="352" t="s">
        <v>436</v>
      </c>
      <c r="B34" s="335">
        <f>COUNTIFS(Destination,"&gt;=8",Destination,"&lt;=9",LastEpisode,"Y")</f>
        <v>3</v>
      </c>
      <c r="C34" s="335">
        <f>COUNTIFS(Destination,"&gt;=8",Destination,"&lt;=9",HouseholdTypePP,"HHNoKids",ExitStatusPP,"L", LengthOfStay_PP,"&lt;=90",LastEpisode,"Y")</f>
        <v>0</v>
      </c>
      <c r="D34" s="335">
        <f>COUNTIFS(Destination,"&gt;=8",Destination,"&lt;=9",HouseholdTypePP,"HHNoKids",ExitStatusPP,"L", LengthOfStay_PP,"&gt;90",LastEpisode,"Y")</f>
        <v>0</v>
      </c>
      <c r="E34" s="335">
        <f>COUNTIFS(Destination,"&gt;=8",Destination,"&lt;=9",HouseholdTypePP,"AdultChild",ExitStatusPP,"L", LengthOfStay_PP,"&lt;=90",LastEpisode,"Y")</f>
        <v>0</v>
      </c>
      <c r="F34" s="335">
        <f>COUNTIFS(Destination,"&gt;=8",Destination,"&lt;=9",HouseholdTypePP,"AdultChild",ExitStatusPP,"L", LengthOfStay_PP,"&gt;90",LastEpisode,"Y")</f>
        <v>0</v>
      </c>
      <c r="G34" s="335">
        <f>COUNTIFS(Destination,"&gt;=8",Destination,"&lt;=9",HouseholdTypePP,"HHKidsOnly",ExitStatusPP,"L", LengthOfStay_PP,"&lt;=90",LastEpisode,"Y")</f>
        <v>0</v>
      </c>
      <c r="H34" s="336">
        <f>COUNTIFS(Destination,"&gt;=8",Destination,"&lt;=9",HouseholdTypePP,"HHKidsOnly",ExitStatusPP,"L", LengthOfStay_PP,"&gt;90",LastEpisode,"Y")</f>
        <v>0</v>
      </c>
    </row>
    <row r="35" spans="1:8" ht="15" customHeight="1">
      <c r="A35" s="352" t="s">
        <v>437</v>
      </c>
      <c r="B35" s="335">
        <f>COUNTIFS(Destination,"",LastEpisode,"Y")</f>
        <v>41</v>
      </c>
      <c r="C35" s="335">
        <f>COUNTIFS(Destination,"",HouseholdTypePP,"HHNoKids",ExitStatusPP,"L", LengthOfStay_PP,"&lt;=90",LastEpisode,"Y")</f>
        <v>0</v>
      </c>
      <c r="D35" s="335">
        <f>COUNTIFS(Destination,"",HouseholdTypePP,"HHNoKids",ExitStatusPP,"L", LengthOfStay_PP,"&gt;90",LastEpisode,"Y")</f>
        <v>0</v>
      </c>
      <c r="E35" s="335">
        <f>COUNTIFS(Destination,"",HouseholdTypePP,"AdultChild",ExitStatusPP,"L", LengthOfStay_PP,"&lt;=90",LastEpisode,"Y")</f>
        <v>0</v>
      </c>
      <c r="F35" s="335">
        <f>COUNTIFS(Destination,"",HouseholdTypePP,"AdultChild",ExitStatusPP,"L", LengthOfStay_PP,"&gt;90",LastEpisode,"Y")</f>
        <v>0</v>
      </c>
      <c r="G35" s="335">
        <f>COUNTIFS(Destination,"",HouseholdTypePP,"HHKidsOnly",ExitStatusPP,"L", LengthOfStay_PP,"&lt;=90",LastEpisode,"Y")</f>
        <v>0</v>
      </c>
      <c r="H35" s="336">
        <f>COUNTIFS(Destination,"",HouseholdTypePP,"HHKidsOnly",ExitStatusPP,"L", LengthOfStay_PP,"&gt;90",LastEpisode,"Y")</f>
        <v>0</v>
      </c>
    </row>
    <row r="36" spans="1:8" ht="15.75" thickBot="1">
      <c r="A36" s="211" t="s">
        <v>116</v>
      </c>
      <c r="B36" s="204">
        <f>SUM(B9:B16,B18:B24,B26:B30,B32:B35)</f>
        <v>157</v>
      </c>
      <c r="C36" s="204">
        <f t="shared" ref="C36:H36" si="0">SUM(C9:C16,C18:C24,C26:C30,C32:C35)</f>
        <v>0</v>
      </c>
      <c r="D36" s="204">
        <f t="shared" si="0"/>
        <v>0</v>
      </c>
      <c r="E36" s="204">
        <f t="shared" si="0"/>
        <v>0</v>
      </c>
      <c r="F36" s="204">
        <f t="shared" si="0"/>
        <v>0</v>
      </c>
      <c r="G36" s="204">
        <f t="shared" si="0"/>
        <v>0</v>
      </c>
      <c r="H36" s="204">
        <f t="shared" si="0"/>
        <v>0</v>
      </c>
    </row>
    <row r="37" spans="1:8" ht="15.75" thickTop="1"/>
  </sheetData>
  <mergeCells count="9">
    <mergeCell ref="C4:D5"/>
    <mergeCell ref="E4:H4"/>
    <mergeCell ref="G5:H5"/>
    <mergeCell ref="A1:H1"/>
    <mergeCell ref="A2:H2"/>
    <mergeCell ref="A3:H3"/>
    <mergeCell ref="A4:A7"/>
    <mergeCell ref="B4:B7"/>
    <mergeCell ref="E5:F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sheetPr codeName="Sheet2"/>
  <dimension ref="A1:N47"/>
  <sheetViews>
    <sheetView topLeftCell="A3" workbookViewId="0">
      <selection activeCell="E26" sqref="E26"/>
    </sheetView>
  </sheetViews>
  <sheetFormatPr defaultRowHeight="15"/>
  <cols>
    <col min="1" max="1" width="11.7109375" customWidth="1"/>
    <col min="2" max="2" width="43.85546875" customWidth="1"/>
    <col min="3" max="3" width="9.85546875" customWidth="1"/>
    <col min="4" max="4" width="33.5703125" customWidth="1"/>
  </cols>
  <sheetData>
    <row r="1" spans="1:13">
      <c r="A1" s="409" t="s">
        <v>24</v>
      </c>
      <c r="B1" s="410"/>
      <c r="C1" s="410"/>
      <c r="D1" s="411"/>
      <c r="E1" t="s">
        <v>1097</v>
      </c>
      <c r="K1" s="318" t="s">
        <v>1101</v>
      </c>
    </row>
    <row r="2" spans="1:13" ht="15.75" customHeight="1" thickBot="1">
      <c r="A2" s="412" t="s">
        <v>15</v>
      </c>
      <c r="B2" s="413"/>
      <c r="C2" s="413"/>
      <c r="D2" s="414"/>
      <c r="G2" s="179"/>
      <c r="H2" s="179"/>
      <c r="I2" s="179"/>
      <c r="J2" s="179"/>
      <c r="K2" s="179"/>
      <c r="L2" s="179"/>
      <c r="M2" s="179"/>
    </row>
    <row r="3" spans="1:13">
      <c r="A3" s="399" t="s">
        <v>25</v>
      </c>
      <c r="B3" s="400"/>
      <c r="C3" s="401" t="s">
        <v>1118</v>
      </c>
      <c r="D3" s="402"/>
      <c r="F3" s="179" t="s">
        <v>1116</v>
      </c>
      <c r="G3" s="179" t="s">
        <v>1119</v>
      </c>
      <c r="H3" s="179" t="s">
        <v>1117</v>
      </c>
      <c r="I3" s="179" t="s">
        <v>1118</v>
      </c>
      <c r="J3" s="179"/>
      <c r="K3" s="319" t="s">
        <v>1194</v>
      </c>
      <c r="L3" s="179"/>
      <c r="M3" s="179"/>
    </row>
    <row r="4" spans="1:13" ht="15" customHeight="1">
      <c r="A4" s="405" t="s">
        <v>26</v>
      </c>
      <c r="B4" s="406"/>
      <c r="C4" s="403"/>
      <c r="D4" s="404"/>
      <c r="G4" s="179"/>
      <c r="H4" s="179"/>
      <c r="I4" s="179"/>
      <c r="J4" s="179"/>
      <c r="K4" s="179"/>
      <c r="L4" s="179"/>
      <c r="M4" s="179"/>
    </row>
    <row r="5" spans="1:13" ht="15" customHeight="1">
      <c r="A5" s="144" t="s">
        <v>1090</v>
      </c>
      <c r="B5" s="145"/>
      <c r="C5" s="403"/>
      <c r="D5" s="404"/>
      <c r="G5" s="179"/>
      <c r="H5" s="179"/>
      <c r="I5" s="179"/>
      <c r="J5" s="179"/>
      <c r="K5" s="179"/>
      <c r="L5" s="179"/>
      <c r="M5" s="179"/>
    </row>
    <row r="6" spans="1:13" ht="15" customHeight="1">
      <c r="A6" s="144" t="s">
        <v>1091</v>
      </c>
      <c r="B6" s="145"/>
      <c r="C6" s="403" t="s">
        <v>556</v>
      </c>
      <c r="D6" s="404"/>
      <c r="F6" t="s">
        <v>556</v>
      </c>
      <c r="G6" t="s">
        <v>557</v>
      </c>
    </row>
    <row r="7" spans="1:13" ht="15" customHeight="1">
      <c r="A7" s="144" t="s">
        <v>1092</v>
      </c>
      <c r="B7" s="145"/>
      <c r="C7" s="403"/>
      <c r="D7" s="404"/>
      <c r="F7" t="s">
        <v>1093</v>
      </c>
      <c r="G7" t="s">
        <v>1094</v>
      </c>
      <c r="H7" t="s">
        <v>1095</v>
      </c>
      <c r="I7" t="s">
        <v>1096</v>
      </c>
    </row>
    <row r="8" spans="1:13">
      <c r="A8" s="405" t="s">
        <v>27</v>
      </c>
      <c r="B8" s="406"/>
      <c r="C8" s="403"/>
      <c r="D8" s="404"/>
      <c r="F8" s="178" t="s">
        <v>557</v>
      </c>
      <c r="G8" t="s">
        <v>1109</v>
      </c>
      <c r="H8" t="s">
        <v>1110</v>
      </c>
      <c r="I8" t="s">
        <v>1112</v>
      </c>
      <c r="J8" t="s">
        <v>1111</v>
      </c>
    </row>
    <row r="9" spans="1:13">
      <c r="A9" s="405" t="s">
        <v>28</v>
      </c>
      <c r="B9" s="406"/>
      <c r="C9" s="403"/>
      <c r="D9" s="404"/>
      <c r="F9" s="178" t="s">
        <v>1113</v>
      </c>
      <c r="G9" t="s">
        <v>1115</v>
      </c>
      <c r="H9" t="s">
        <v>1114</v>
      </c>
    </row>
    <row r="10" spans="1:13">
      <c r="A10" s="405" t="s">
        <v>29</v>
      </c>
      <c r="B10" s="406"/>
      <c r="C10" s="403"/>
      <c r="D10" s="404"/>
      <c r="F10" s="178"/>
    </row>
    <row r="11" spans="1:13">
      <c r="A11" s="405" t="s">
        <v>36</v>
      </c>
      <c r="B11" s="406"/>
      <c r="C11" s="403"/>
      <c r="D11" s="404"/>
    </row>
    <row r="12" spans="1:13">
      <c r="A12" s="405" t="s">
        <v>30</v>
      </c>
      <c r="B12" s="406"/>
      <c r="C12" s="407"/>
      <c r="D12" s="408"/>
    </row>
    <row r="13" spans="1:13">
      <c r="A13" s="405" t="s">
        <v>31</v>
      </c>
      <c r="B13" s="406"/>
      <c r="C13" s="407"/>
      <c r="D13" s="408"/>
    </row>
    <row r="14" spans="1:13">
      <c r="A14" s="405" t="s">
        <v>32</v>
      </c>
      <c r="B14" s="406"/>
      <c r="C14" s="403"/>
      <c r="D14" s="404"/>
    </row>
    <row r="15" spans="1:13">
      <c r="A15" s="405" t="s">
        <v>33</v>
      </c>
      <c r="B15" s="406"/>
      <c r="C15" s="403"/>
      <c r="D15" s="404"/>
      <c r="F15" t="s">
        <v>556</v>
      </c>
      <c r="G15" t="s">
        <v>557</v>
      </c>
    </row>
    <row r="16" spans="1:13">
      <c r="A16" s="405" t="s">
        <v>34</v>
      </c>
      <c r="B16" s="406"/>
      <c r="C16" s="403"/>
      <c r="D16" s="404"/>
      <c r="F16" t="s">
        <v>556</v>
      </c>
      <c r="G16" t="s">
        <v>557</v>
      </c>
    </row>
    <row r="17" spans="1:14">
      <c r="A17" s="405" t="s">
        <v>35</v>
      </c>
      <c r="B17" s="406"/>
      <c r="C17" s="403"/>
      <c r="D17" s="404"/>
      <c r="F17" t="s">
        <v>556</v>
      </c>
      <c r="G17" t="s">
        <v>557</v>
      </c>
    </row>
    <row r="18" spans="1:14">
      <c r="A18" s="405" t="s">
        <v>37</v>
      </c>
      <c r="B18" s="406"/>
      <c r="C18" s="403"/>
      <c r="D18" s="404"/>
      <c r="F18" t="s">
        <v>556</v>
      </c>
      <c r="G18" t="s">
        <v>557</v>
      </c>
    </row>
    <row r="19" spans="1:14" ht="15.75" thickBot="1">
      <c r="A19" s="146" t="s">
        <v>38</v>
      </c>
      <c r="B19" s="147"/>
      <c r="C19" s="437"/>
      <c r="D19" s="438"/>
    </row>
    <row r="20" spans="1:14" ht="16.5" customHeight="1" thickBot="1">
      <c r="A20" s="148"/>
      <c r="B20" s="148"/>
      <c r="C20" s="148"/>
      <c r="D20" s="148"/>
    </row>
    <row r="21" spans="1:14" ht="15.75" thickTop="1">
      <c r="A21" s="439" t="s">
        <v>39</v>
      </c>
      <c r="B21" s="440"/>
      <c r="C21" s="440"/>
      <c r="D21" s="441"/>
    </row>
    <row r="22" spans="1:14" ht="15.75" thickBot="1">
      <c r="A22" s="442" t="s">
        <v>40</v>
      </c>
      <c r="B22" s="443"/>
      <c r="C22" s="443"/>
      <c r="D22" s="444"/>
    </row>
    <row r="23" spans="1:14" ht="15.75" thickBot="1">
      <c r="A23" s="445" t="s">
        <v>41</v>
      </c>
      <c r="B23" s="446"/>
      <c r="C23" s="446"/>
      <c r="D23" s="447"/>
    </row>
    <row r="24" spans="1:14">
      <c r="A24" s="456" t="s">
        <v>42</v>
      </c>
      <c r="B24" s="457"/>
      <c r="C24" s="450"/>
      <c r="D24" s="451"/>
    </row>
    <row r="25" spans="1:14">
      <c r="A25" s="458" t="s">
        <v>43</v>
      </c>
      <c r="B25" s="459"/>
      <c r="C25" s="452"/>
      <c r="D25" s="453"/>
    </row>
    <row r="26" spans="1:14">
      <c r="A26" s="458" t="s">
        <v>44</v>
      </c>
      <c r="B26" s="459"/>
      <c r="C26" s="452"/>
      <c r="D26" s="453"/>
    </row>
    <row r="27" spans="1:14" ht="15.75" thickBot="1">
      <c r="A27" s="460" t="s">
        <v>45</v>
      </c>
      <c r="B27" s="461"/>
      <c r="C27" s="454"/>
      <c r="D27" s="455"/>
    </row>
    <row r="28" spans="1:14" ht="15.75" thickBot="1">
      <c r="A28" s="432" t="s">
        <v>46</v>
      </c>
      <c r="B28" s="433"/>
      <c r="C28" s="433"/>
      <c r="D28" s="434"/>
      <c r="N28" s="180"/>
    </row>
    <row r="29" spans="1:14" ht="15.75" thickBot="1">
      <c r="A29" s="435" t="s">
        <v>1100</v>
      </c>
      <c r="B29" s="436"/>
      <c r="C29" s="430"/>
      <c r="D29" s="431"/>
      <c r="F29" s="180" t="s">
        <v>1120</v>
      </c>
      <c r="G29" s="180" t="s">
        <v>1121</v>
      </c>
      <c r="H29" s="181" t="s">
        <v>1122</v>
      </c>
      <c r="I29" s="180"/>
      <c r="N29" s="180"/>
    </row>
    <row r="30" spans="1:14" ht="15.75" thickBot="1">
      <c r="A30" s="427" t="s">
        <v>47</v>
      </c>
      <c r="B30" s="428"/>
      <c r="C30" s="428"/>
      <c r="D30" s="429"/>
      <c r="F30" s="180"/>
      <c r="I30" s="180"/>
      <c r="N30" s="180"/>
    </row>
    <row r="31" spans="1:14" ht="15.75" customHeight="1" thickBot="1">
      <c r="A31" s="435" t="s">
        <v>1099</v>
      </c>
      <c r="B31" s="436"/>
      <c r="C31" s="430"/>
      <c r="D31" s="431"/>
      <c r="F31" s="180" t="s">
        <v>1123</v>
      </c>
      <c r="G31" s="180" t="s">
        <v>1124</v>
      </c>
      <c r="H31" s="180" t="s">
        <v>1125</v>
      </c>
      <c r="I31" s="181"/>
      <c r="M31" s="180"/>
      <c r="N31" s="180"/>
    </row>
    <row r="32" spans="1:14" ht="15.75" thickBot="1">
      <c r="A32" s="427" t="s">
        <v>48</v>
      </c>
      <c r="B32" s="428"/>
      <c r="C32" s="428"/>
      <c r="D32" s="429"/>
      <c r="M32" s="180"/>
      <c r="N32" s="180"/>
    </row>
    <row r="33" spans="1:14" ht="15" customHeight="1" thickBot="1">
      <c r="A33" s="448" t="s">
        <v>49</v>
      </c>
      <c r="B33" s="449"/>
      <c r="C33" s="430"/>
      <c r="D33" s="431"/>
      <c r="F33" s="180" t="s">
        <v>1126</v>
      </c>
      <c r="G33" s="180" t="s">
        <v>1127</v>
      </c>
      <c r="H33" s="180" t="s">
        <v>1128</v>
      </c>
      <c r="I33" s="180" t="s">
        <v>1129</v>
      </c>
      <c r="J33" s="180" t="s">
        <v>1130</v>
      </c>
      <c r="K33" s="180" t="s">
        <v>1131</v>
      </c>
      <c r="L33" s="180" t="s">
        <v>1132</v>
      </c>
      <c r="M33" s="180"/>
      <c r="N33" s="180"/>
    </row>
    <row r="34" spans="1:14" ht="15.75" thickBot="1">
      <c r="A34" s="427" t="s">
        <v>50</v>
      </c>
      <c r="B34" s="428"/>
      <c r="C34" s="428"/>
      <c r="D34" s="429"/>
      <c r="N34" s="180"/>
    </row>
    <row r="35" spans="1:14" ht="15" customHeight="1">
      <c r="A35" s="415" t="s">
        <v>1098</v>
      </c>
      <c r="B35" s="416"/>
      <c r="C35" s="421"/>
      <c r="D35" s="422"/>
    </row>
    <row r="36" spans="1:14" ht="15" customHeight="1">
      <c r="A36" s="417"/>
      <c r="B36" s="418"/>
      <c r="C36" s="423"/>
      <c r="D36" s="424"/>
    </row>
    <row r="37" spans="1:14" ht="15" customHeight="1">
      <c r="A37" s="417"/>
      <c r="B37" s="418"/>
      <c r="C37" s="423"/>
      <c r="D37" s="424"/>
    </row>
    <row r="38" spans="1:14" ht="15" customHeight="1">
      <c r="A38" s="417"/>
      <c r="B38" s="418"/>
      <c r="C38" s="423"/>
      <c r="D38" s="424"/>
    </row>
    <row r="39" spans="1:14" ht="15" customHeight="1">
      <c r="A39" s="417"/>
      <c r="B39" s="418"/>
      <c r="C39" s="423"/>
      <c r="D39" s="424"/>
    </row>
    <row r="40" spans="1:14" ht="15" customHeight="1">
      <c r="A40" s="417"/>
      <c r="B40" s="418"/>
      <c r="C40" s="423"/>
      <c r="D40" s="424"/>
    </row>
    <row r="41" spans="1:14" ht="15" customHeight="1">
      <c r="A41" s="417"/>
      <c r="B41" s="418"/>
      <c r="C41" s="423"/>
      <c r="D41" s="424"/>
    </row>
    <row r="42" spans="1:14">
      <c r="A42" s="417"/>
      <c r="B42" s="418"/>
      <c r="C42" s="423"/>
      <c r="D42" s="424"/>
    </row>
    <row r="43" spans="1:14">
      <c r="A43" s="417"/>
      <c r="B43" s="418"/>
      <c r="C43" s="423"/>
      <c r="D43" s="424"/>
    </row>
    <row r="44" spans="1:14">
      <c r="A44" s="417"/>
      <c r="B44" s="418"/>
      <c r="C44" s="423"/>
      <c r="D44" s="424"/>
    </row>
    <row r="45" spans="1:14">
      <c r="A45" s="417"/>
      <c r="B45" s="418"/>
      <c r="C45" s="423"/>
      <c r="D45" s="424"/>
    </row>
    <row r="46" spans="1:14" ht="15.75" thickBot="1">
      <c r="A46" s="419"/>
      <c r="B46" s="420"/>
      <c r="C46" s="425"/>
      <c r="D46" s="426"/>
    </row>
    <row r="47" spans="1:14" ht="15.75" thickTop="1"/>
  </sheetData>
  <mergeCells count="55">
    <mergeCell ref="A17:B17"/>
    <mergeCell ref="C17:D17"/>
    <mergeCell ref="A18:B18"/>
    <mergeCell ref="C18:D18"/>
    <mergeCell ref="A15:B15"/>
    <mergeCell ref="C15:D15"/>
    <mergeCell ref="A16:B16"/>
    <mergeCell ref="C16:D16"/>
    <mergeCell ref="A31:B31"/>
    <mergeCell ref="A33:B33"/>
    <mergeCell ref="C24:D24"/>
    <mergeCell ref="C25:D25"/>
    <mergeCell ref="C26:D26"/>
    <mergeCell ref="C27:D27"/>
    <mergeCell ref="A24:B24"/>
    <mergeCell ref="A25:B25"/>
    <mergeCell ref="A26:B26"/>
    <mergeCell ref="A27:B27"/>
    <mergeCell ref="A1:D1"/>
    <mergeCell ref="A2:D2"/>
    <mergeCell ref="A35:B46"/>
    <mergeCell ref="C35:D46"/>
    <mergeCell ref="A30:D30"/>
    <mergeCell ref="C31:D31"/>
    <mergeCell ref="A32:D32"/>
    <mergeCell ref="C33:D33"/>
    <mergeCell ref="A34:D34"/>
    <mergeCell ref="A28:D28"/>
    <mergeCell ref="A29:B29"/>
    <mergeCell ref="C29:D29"/>
    <mergeCell ref="C19:D19"/>
    <mergeCell ref="A21:D21"/>
    <mergeCell ref="A22:D22"/>
    <mergeCell ref="A23:D23"/>
    <mergeCell ref="A13:B13"/>
    <mergeCell ref="C13:D13"/>
    <mergeCell ref="A14:B14"/>
    <mergeCell ref="C14:D14"/>
    <mergeCell ref="A11:B11"/>
    <mergeCell ref="C11:D11"/>
    <mergeCell ref="A12:B12"/>
    <mergeCell ref="C12:D12"/>
    <mergeCell ref="A9:B9"/>
    <mergeCell ref="C9:D9"/>
    <mergeCell ref="A10:B10"/>
    <mergeCell ref="C10:D10"/>
    <mergeCell ref="A4:B4"/>
    <mergeCell ref="C4:D4"/>
    <mergeCell ref="A8:B8"/>
    <mergeCell ref="C8:D8"/>
    <mergeCell ref="A3:B3"/>
    <mergeCell ref="C3:D3"/>
    <mergeCell ref="C5:D5"/>
    <mergeCell ref="C6:D6"/>
    <mergeCell ref="C7:D7"/>
  </mergeCells>
  <dataValidations count="12">
    <dataValidation type="list" allowBlank="1" showInputMessage="1" showErrorMessage="1" promptTitle="housing goal" prompt="Are your project activities, including case management, related to a housing goal?" sqref="C6:D6">
      <formula1>$E$6:$G$6</formula1>
    </dataValidation>
    <dataValidation type="list" allowBlank="1" showInputMessage="1" showErrorMessage="1" promptTitle="HPRP Grantee Type" prompt="If HPRP is selected as a grant type, what is the grantee type?" sqref="C7:D7">
      <formula1>$E$7:$I$7</formula1>
    </dataValidation>
    <dataValidation type="list" allowBlank="1" showInputMessage="1" showErrorMessage="1" promptTitle="Special Initiatives" prompt="Was this project funded under a special initiative?" sqref="C8:D8">
      <formula1>$F$8:$J$8</formula1>
    </dataValidation>
    <dataValidation type="list" allowBlank="1" showInputMessage="1" showErrorMessage="1" promptTitle="Target Subpopulation" prompt="List of target B population codes from SuperNOFA" sqref="C9:D9">
      <formula1>$F$9:$H$9</formula1>
    </dataValidation>
    <dataValidation type="list" allowBlank="1" showInputMessage="1" showErrorMessage="1" sqref="C18:D18">
      <formula1>$F$15:$G$15</formula1>
    </dataValidation>
    <dataValidation type="list" allowBlank="1" showInputMessage="1" showErrorMessage="1" promptTitle="Extension APR?" prompt=" Is this an extension APR?" sqref="C15:D15">
      <formula1>$F$15:$G$15</formula1>
    </dataValidation>
    <dataValidation type="list" allowBlank="1" showInputMessage="1" showErrorMessage="1" promptTitle="Final APR" prompt="Is this a final APR?" sqref="C16:D16">
      <formula1>$F$15:$G$15</formula1>
    </dataValidation>
    <dataValidation type="list" allowBlank="1" showInputMessage="1" showErrorMessage="1" promptTitle="Corrected APR" prompt="Is this a corrected APR?" sqref="C17:D17">
      <formula1>$F$15:$G$15</formula1>
    </dataValidation>
    <dataValidation type="list" allowBlank="1" showInputMessage="1" showErrorMessage="1" promptTitle="Type of Grant" prompt="Please choose the type of grant" sqref="C3:D3">
      <formula1>$F$3:$I$3</formula1>
    </dataValidation>
    <dataValidation type="list" allowBlank="1" showInputMessage="1" showErrorMessage="1" promptTitle="Program Site" prompt="Identify the program site configuration type" sqref="C29:D29">
      <formula1>$F$29:$H$29</formula1>
    </dataValidation>
    <dataValidation type="list" allowBlank="1" showInputMessage="1" showErrorMessage="1" promptTitle="Principal Service Site" sqref="C31:D31">
      <formula1>$F$31:$H$31</formula1>
    </dataValidation>
    <dataValidation type="list" allowBlank="1" showInputMessage="1" showErrorMessage="1" sqref="C33:D33">
      <formula1>$F$33:$L$33</formula1>
    </dataValidation>
  </dataValidations>
  <pageMargins left="0.35" right="0.35" top="0.75" bottom="0.75" header="0.3" footer="0.3"/>
  <pageSetup orientation="portrait" r:id="rId1"/>
</worksheet>
</file>

<file path=xl/worksheets/sheet20.xml><?xml version="1.0" encoding="utf-8"?>
<worksheet xmlns="http://schemas.openxmlformats.org/spreadsheetml/2006/main" xmlns:r="http://schemas.openxmlformats.org/officeDocument/2006/relationships">
  <sheetPr codeName="Sheet19"/>
  <dimension ref="A1:G39"/>
  <sheetViews>
    <sheetView workbookViewId="0">
      <selection activeCell="G3" sqref="G3"/>
    </sheetView>
  </sheetViews>
  <sheetFormatPr defaultRowHeight="15"/>
  <cols>
    <col min="1" max="1" width="26.42578125" customWidth="1"/>
    <col min="2" max="2" width="11.5703125" customWidth="1"/>
  </cols>
  <sheetData>
    <row r="1" spans="1:7" ht="18" customHeight="1" thickTop="1" thickBot="1">
      <c r="A1" s="933" t="s">
        <v>757</v>
      </c>
      <c r="B1" s="934"/>
      <c r="C1" s="934"/>
      <c r="D1" s="934"/>
      <c r="E1" s="935"/>
    </row>
    <row r="2" spans="1:7" ht="15" customHeight="1" thickBot="1">
      <c r="A2" s="936" t="s">
        <v>758</v>
      </c>
      <c r="B2" s="937"/>
      <c r="C2" s="937"/>
      <c r="D2" s="937"/>
      <c r="E2" s="938"/>
      <c r="G2" t="s">
        <v>1103</v>
      </c>
    </row>
    <row r="3" spans="1:7" ht="16.5" thickBot="1">
      <c r="A3" s="939"/>
      <c r="B3" s="940"/>
      <c r="C3" s="940"/>
      <c r="D3" s="940"/>
      <c r="E3" s="941"/>
    </row>
    <row r="4" spans="1:7" ht="39" thickBot="1">
      <c r="A4" s="80" t="s">
        <v>759</v>
      </c>
      <c r="B4" s="81" t="s">
        <v>760</v>
      </c>
      <c r="C4" s="81" t="s">
        <v>761</v>
      </c>
      <c r="D4" s="81" t="s">
        <v>762</v>
      </c>
      <c r="E4" s="82" t="s">
        <v>763</v>
      </c>
    </row>
    <row r="5" spans="1:7" ht="15" customHeight="1" thickBot="1">
      <c r="A5" s="83" t="s">
        <v>764</v>
      </c>
      <c r="B5" s="31" t="s">
        <v>609</v>
      </c>
      <c r="C5" s="31" t="s">
        <v>449</v>
      </c>
      <c r="D5" s="56" t="s">
        <v>765</v>
      </c>
      <c r="E5" s="58" t="s">
        <v>766</v>
      </c>
    </row>
    <row r="6" spans="1:7" ht="15" customHeight="1" thickBot="1">
      <c r="A6" s="83" t="s">
        <v>767</v>
      </c>
      <c r="B6" s="31" t="s">
        <v>610</v>
      </c>
      <c r="C6" s="31" t="s">
        <v>451</v>
      </c>
      <c r="D6" s="56" t="s">
        <v>768</v>
      </c>
      <c r="E6" s="58" t="s">
        <v>769</v>
      </c>
    </row>
    <row r="7" spans="1:7" ht="15" customHeight="1" thickBot="1">
      <c r="A7" s="83" t="s">
        <v>770</v>
      </c>
      <c r="B7" s="31" t="s">
        <v>611</v>
      </c>
      <c r="C7" s="31" t="s">
        <v>453</v>
      </c>
      <c r="D7" s="56" t="s">
        <v>771</v>
      </c>
      <c r="E7" s="58" t="s">
        <v>772</v>
      </c>
    </row>
    <row r="8" spans="1:7" ht="15" customHeight="1" thickBot="1">
      <c r="A8" s="84" t="s">
        <v>773</v>
      </c>
      <c r="B8" s="56" t="s">
        <v>774</v>
      </c>
      <c r="C8" s="56" t="s">
        <v>775</v>
      </c>
      <c r="D8" s="56" t="s">
        <v>776</v>
      </c>
      <c r="E8" s="58" t="s">
        <v>777</v>
      </c>
    </row>
    <row r="9" spans="1:7" ht="15" customHeight="1" thickBot="1">
      <c r="A9" s="85" t="s">
        <v>778</v>
      </c>
      <c r="B9" s="86"/>
      <c r="C9" s="86"/>
      <c r="D9" s="87"/>
      <c r="E9" s="88"/>
    </row>
    <row r="10" spans="1:7" ht="15" customHeight="1" thickBot="1">
      <c r="A10" s="89" t="s">
        <v>779</v>
      </c>
      <c r="B10" s="90" t="s">
        <v>456</v>
      </c>
      <c r="C10" s="931"/>
      <c r="D10" s="931"/>
      <c r="E10" s="932"/>
    </row>
    <row r="11" spans="1:7" ht="15" customHeight="1" thickBot="1">
      <c r="A11" s="89" t="s">
        <v>780</v>
      </c>
      <c r="B11" s="90" t="s">
        <v>458</v>
      </c>
      <c r="C11" s="931"/>
      <c r="D11" s="931"/>
      <c r="E11" s="932"/>
    </row>
    <row r="12" spans="1:7" ht="15" customHeight="1" thickBot="1">
      <c r="A12" s="89" t="s">
        <v>781</v>
      </c>
      <c r="B12" s="90" t="s">
        <v>460</v>
      </c>
      <c r="C12" s="931"/>
      <c r="D12" s="931"/>
      <c r="E12" s="932"/>
    </row>
    <row r="13" spans="1:7" ht="15" customHeight="1" thickBot="1">
      <c r="A13" s="89" t="s">
        <v>782</v>
      </c>
      <c r="B13" s="90" t="s">
        <v>462</v>
      </c>
      <c r="C13" s="931"/>
      <c r="D13" s="931"/>
      <c r="E13" s="932"/>
    </row>
    <row r="14" spans="1:7" ht="15" customHeight="1" thickBot="1">
      <c r="A14" s="89" t="s">
        <v>783</v>
      </c>
      <c r="B14" s="90" t="s">
        <v>464</v>
      </c>
      <c r="C14" s="931"/>
      <c r="D14" s="931"/>
      <c r="E14" s="932"/>
    </row>
    <row r="15" spans="1:7" ht="15" customHeight="1" thickBot="1">
      <c r="A15" s="89" t="s">
        <v>784</v>
      </c>
      <c r="B15" s="90" t="s">
        <v>465</v>
      </c>
      <c r="C15" s="931"/>
      <c r="D15" s="931"/>
      <c r="E15" s="932"/>
    </row>
    <row r="16" spans="1:7" ht="15" customHeight="1" thickBot="1">
      <c r="A16" s="89" t="s">
        <v>785</v>
      </c>
      <c r="B16" s="90" t="s">
        <v>466</v>
      </c>
      <c r="C16" s="931"/>
      <c r="D16" s="931"/>
      <c r="E16" s="932"/>
    </row>
    <row r="17" spans="1:5" ht="15" customHeight="1" thickBot="1">
      <c r="A17" s="89" t="s">
        <v>786</v>
      </c>
      <c r="B17" s="90" t="s">
        <v>613</v>
      </c>
      <c r="C17" s="931"/>
      <c r="D17" s="931"/>
      <c r="E17" s="932"/>
    </row>
    <row r="18" spans="1:5" ht="15" customHeight="1" thickBot="1">
      <c r="A18" s="89" t="s">
        <v>787</v>
      </c>
      <c r="B18" s="90" t="s">
        <v>614</v>
      </c>
      <c r="C18" s="931"/>
      <c r="D18" s="931"/>
      <c r="E18" s="932"/>
    </row>
    <row r="19" spans="1:5" ht="15" customHeight="1" thickBot="1">
      <c r="A19" s="89" t="s">
        <v>788</v>
      </c>
      <c r="B19" s="90" t="s">
        <v>615</v>
      </c>
      <c r="C19" s="931"/>
      <c r="D19" s="931"/>
      <c r="E19" s="932"/>
    </row>
    <row r="20" spans="1:5" ht="15" customHeight="1" thickBot="1">
      <c r="A20" s="89" t="s">
        <v>789</v>
      </c>
      <c r="B20" s="90" t="s">
        <v>616</v>
      </c>
      <c r="C20" s="931"/>
      <c r="D20" s="931"/>
      <c r="E20" s="932"/>
    </row>
    <row r="21" spans="1:5" ht="15" customHeight="1" thickBot="1">
      <c r="A21" s="89" t="s">
        <v>790</v>
      </c>
      <c r="B21" s="90" t="s">
        <v>791</v>
      </c>
      <c r="C21" s="931"/>
      <c r="D21" s="931"/>
      <c r="E21" s="932"/>
    </row>
    <row r="22" spans="1:5" ht="15" customHeight="1" thickBot="1">
      <c r="A22" s="89" t="s">
        <v>792</v>
      </c>
      <c r="B22" s="90" t="s">
        <v>793</v>
      </c>
      <c r="C22" s="931"/>
      <c r="D22" s="931"/>
      <c r="E22" s="932"/>
    </row>
    <row r="23" spans="1:5" ht="15" customHeight="1" thickBot="1">
      <c r="A23" s="89" t="s">
        <v>794</v>
      </c>
      <c r="B23" s="90" t="s">
        <v>795</v>
      </c>
      <c r="C23" s="931"/>
      <c r="D23" s="931"/>
      <c r="E23" s="932"/>
    </row>
    <row r="24" spans="1:5" ht="15" customHeight="1" thickBot="1">
      <c r="A24" s="84" t="s">
        <v>796</v>
      </c>
      <c r="B24" s="56" t="s">
        <v>797</v>
      </c>
      <c r="C24" s="56" t="s">
        <v>798</v>
      </c>
      <c r="D24" s="56" t="s">
        <v>799</v>
      </c>
      <c r="E24" s="58" t="s">
        <v>800</v>
      </c>
    </row>
    <row r="25" spans="1:5" ht="15" customHeight="1" thickBot="1">
      <c r="A25" s="83" t="s">
        <v>801</v>
      </c>
      <c r="B25" s="31" t="s">
        <v>802</v>
      </c>
      <c r="C25" s="31" t="s">
        <v>803</v>
      </c>
      <c r="D25" s="56" t="s">
        <v>804</v>
      </c>
      <c r="E25" s="58" t="s">
        <v>805</v>
      </c>
    </row>
    <row r="26" spans="1:5" ht="15" customHeight="1" thickBot="1">
      <c r="A26" s="83" t="s">
        <v>806</v>
      </c>
      <c r="B26" s="31" t="s">
        <v>807</v>
      </c>
      <c r="C26" s="31" t="s">
        <v>808</v>
      </c>
      <c r="D26" s="56" t="s">
        <v>809</v>
      </c>
      <c r="E26" s="58" t="s">
        <v>810</v>
      </c>
    </row>
    <row r="27" spans="1:5" ht="15" customHeight="1" thickBot="1">
      <c r="A27" s="83" t="s">
        <v>811</v>
      </c>
      <c r="B27" s="31" t="s">
        <v>812</v>
      </c>
      <c r="C27" s="31" t="s">
        <v>813</v>
      </c>
      <c r="D27" s="56" t="s">
        <v>814</v>
      </c>
      <c r="E27" s="58" t="s">
        <v>815</v>
      </c>
    </row>
    <row r="28" spans="1:5" ht="15" customHeight="1" thickBot="1">
      <c r="A28" s="83" t="s">
        <v>816</v>
      </c>
      <c r="B28" s="31" t="s">
        <v>817</v>
      </c>
      <c r="C28" s="31" t="s">
        <v>818</v>
      </c>
      <c r="D28" s="56" t="s">
        <v>819</v>
      </c>
      <c r="E28" s="58" t="s">
        <v>820</v>
      </c>
    </row>
    <row r="29" spans="1:5" ht="15" customHeight="1" thickBot="1">
      <c r="A29" s="62" t="s">
        <v>56</v>
      </c>
      <c r="B29" s="59" t="s">
        <v>821</v>
      </c>
      <c r="C29" s="59" t="s">
        <v>822</v>
      </c>
      <c r="D29" s="59" t="s">
        <v>823</v>
      </c>
      <c r="E29" s="60" t="s">
        <v>824</v>
      </c>
    </row>
    <row r="30" spans="1:5" ht="16.5" thickTop="1" thickBot="1"/>
    <row r="31" spans="1:5" ht="42.75" customHeight="1" thickTop="1">
      <c r="A31" s="914" t="s">
        <v>825</v>
      </c>
      <c r="B31" s="915"/>
      <c r="C31" s="915"/>
      <c r="D31" s="915"/>
      <c r="E31" s="916"/>
    </row>
    <row r="32" spans="1:5" ht="15" customHeight="1">
      <c r="A32" s="917" t="s">
        <v>826</v>
      </c>
      <c r="B32" s="918"/>
      <c r="C32" s="918"/>
      <c r="D32" s="918"/>
      <c r="E32" s="919"/>
    </row>
    <row r="33" spans="1:5" ht="16.5" thickBot="1">
      <c r="A33" s="920"/>
      <c r="B33" s="921"/>
      <c r="C33" s="921"/>
      <c r="D33" s="921"/>
      <c r="E33" s="922"/>
    </row>
    <row r="34" spans="1:5" ht="39.75" customHeight="1" thickBot="1">
      <c r="A34" s="930"/>
      <c r="B34" s="923"/>
      <c r="C34" s="923"/>
      <c r="D34" s="923" t="s">
        <v>827</v>
      </c>
      <c r="E34" s="924"/>
    </row>
    <row r="35" spans="1:5" ht="15.75" thickBot="1">
      <c r="A35" s="908" t="s">
        <v>828</v>
      </c>
      <c r="B35" s="909"/>
      <c r="C35" s="909"/>
      <c r="D35" s="909" t="s">
        <v>123</v>
      </c>
      <c r="E35" s="925"/>
    </row>
    <row r="36" spans="1:5" ht="15.75" thickBot="1">
      <c r="A36" s="908" t="s">
        <v>829</v>
      </c>
      <c r="B36" s="909"/>
      <c r="C36" s="909"/>
      <c r="D36" s="909" t="s">
        <v>127</v>
      </c>
      <c r="E36" s="925"/>
    </row>
    <row r="37" spans="1:5" ht="22.5" customHeight="1" thickBot="1">
      <c r="A37" s="910" t="s">
        <v>763</v>
      </c>
      <c r="B37" s="911"/>
      <c r="C37" s="911"/>
      <c r="D37" s="926" t="s">
        <v>59</v>
      </c>
      <c r="E37" s="927"/>
    </row>
    <row r="38" spans="1:5" ht="15.75" thickBot="1">
      <c r="A38" s="912"/>
      <c r="B38" s="913"/>
      <c r="C38" s="913"/>
      <c r="D38" s="928" t="s">
        <v>830</v>
      </c>
      <c r="E38" s="929"/>
    </row>
    <row r="39" spans="1:5" ht="15.75" thickTop="1"/>
  </sheetData>
  <mergeCells count="19">
    <mergeCell ref="C10:C23"/>
    <mergeCell ref="D10:D23"/>
    <mergeCell ref="E10:E23"/>
    <mergeCell ref="A1:E1"/>
    <mergeCell ref="A2:E2"/>
    <mergeCell ref="A3:E3"/>
    <mergeCell ref="A35:C35"/>
    <mergeCell ref="A36:C36"/>
    <mergeCell ref="A37:C37"/>
    <mergeCell ref="A38:C38"/>
    <mergeCell ref="A31:E31"/>
    <mergeCell ref="A32:E32"/>
    <mergeCell ref="A33:E33"/>
    <mergeCell ref="D34:E34"/>
    <mergeCell ref="D35:E35"/>
    <mergeCell ref="D36:E36"/>
    <mergeCell ref="D37:E37"/>
    <mergeCell ref="D38:E38"/>
    <mergeCell ref="A34:C3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sheetPr codeName="Sheet20"/>
  <dimension ref="A1:E26"/>
  <sheetViews>
    <sheetView workbookViewId="0">
      <selection activeCell="H28" sqref="H28"/>
    </sheetView>
  </sheetViews>
  <sheetFormatPr defaultRowHeight="15"/>
  <cols>
    <col min="1" max="1" width="24.5703125" customWidth="1"/>
    <col min="2" max="2" width="10.5703125" customWidth="1"/>
    <col min="3" max="3" width="15.85546875" customWidth="1"/>
    <col min="4" max="4" width="28.85546875" customWidth="1"/>
    <col min="5" max="5" width="9.85546875" customWidth="1"/>
  </cols>
  <sheetData>
    <row r="1" spans="1:5" ht="42" customHeight="1" thickTop="1">
      <c r="A1" s="462" t="s">
        <v>831</v>
      </c>
      <c r="B1" s="464"/>
      <c r="D1" s="594" t="s">
        <v>835</v>
      </c>
      <c r="E1" s="596"/>
    </row>
    <row r="2" spans="1:5" ht="15.75" customHeight="1" thickBot="1">
      <c r="A2" s="943" t="s">
        <v>826</v>
      </c>
      <c r="B2" s="944"/>
      <c r="D2" s="953" t="s">
        <v>836</v>
      </c>
      <c r="E2" s="954"/>
    </row>
    <row r="3" spans="1:5" ht="15" customHeight="1" thickBot="1">
      <c r="A3" s="65" t="s">
        <v>832</v>
      </c>
      <c r="B3" s="64" t="s">
        <v>833</v>
      </c>
      <c r="D3" s="78" t="s">
        <v>832</v>
      </c>
      <c r="E3" s="79" t="s">
        <v>833</v>
      </c>
    </row>
    <row r="4" spans="1:5" ht="15" customHeight="1" thickBot="1">
      <c r="A4" s="91" t="s">
        <v>779</v>
      </c>
      <c r="B4" s="19" t="s">
        <v>124</v>
      </c>
      <c r="D4" s="91" t="s">
        <v>779</v>
      </c>
      <c r="E4" s="19" t="s">
        <v>125</v>
      </c>
    </row>
    <row r="5" spans="1:5" ht="15" customHeight="1" thickBot="1">
      <c r="A5" s="91" t="s">
        <v>780</v>
      </c>
      <c r="B5" s="19" t="s">
        <v>474</v>
      </c>
      <c r="D5" s="91" t="s">
        <v>780</v>
      </c>
      <c r="E5" s="19" t="s">
        <v>128</v>
      </c>
    </row>
    <row r="6" spans="1:5" ht="15" customHeight="1" thickBot="1">
      <c r="A6" s="91" t="s">
        <v>781</v>
      </c>
      <c r="B6" s="19" t="s">
        <v>131</v>
      </c>
      <c r="D6" s="91" t="s">
        <v>781</v>
      </c>
      <c r="E6" s="19" t="s">
        <v>132</v>
      </c>
    </row>
    <row r="7" spans="1:5" ht="15" customHeight="1" thickBot="1">
      <c r="A7" s="91" t="s">
        <v>782</v>
      </c>
      <c r="B7" s="19" t="s">
        <v>135</v>
      </c>
      <c r="D7" s="91" t="s">
        <v>782</v>
      </c>
      <c r="E7" s="19" t="s">
        <v>136</v>
      </c>
    </row>
    <row r="8" spans="1:5" ht="15" customHeight="1" thickBot="1">
      <c r="A8" s="91" t="s">
        <v>783</v>
      </c>
      <c r="B8" s="19" t="s">
        <v>654</v>
      </c>
      <c r="D8" s="91" t="s">
        <v>783</v>
      </c>
      <c r="E8" s="19" t="s">
        <v>628</v>
      </c>
    </row>
    <row r="9" spans="1:5" ht="15" customHeight="1" thickBot="1">
      <c r="A9" s="91" t="s">
        <v>784</v>
      </c>
      <c r="B9" s="19" t="s">
        <v>141</v>
      </c>
      <c r="D9" s="91" t="s">
        <v>784</v>
      </c>
      <c r="E9" s="19" t="s">
        <v>142</v>
      </c>
    </row>
    <row r="10" spans="1:5" ht="15" customHeight="1" thickBot="1">
      <c r="A10" s="91" t="s">
        <v>785</v>
      </c>
      <c r="B10" s="19" t="s">
        <v>147</v>
      </c>
      <c r="D10" s="91" t="s">
        <v>785</v>
      </c>
      <c r="E10" s="19" t="s">
        <v>148</v>
      </c>
    </row>
    <row r="11" spans="1:5" ht="15" customHeight="1" thickBot="1">
      <c r="A11" s="91" t="s">
        <v>786</v>
      </c>
      <c r="B11" s="19" t="s">
        <v>151</v>
      </c>
      <c r="D11" s="91" t="s">
        <v>786</v>
      </c>
      <c r="E11" s="19" t="s">
        <v>152</v>
      </c>
    </row>
    <row r="12" spans="1:5" ht="15" customHeight="1" thickBot="1">
      <c r="A12" s="91" t="s">
        <v>787</v>
      </c>
      <c r="B12" s="19" t="s">
        <v>155</v>
      </c>
      <c r="D12" s="91" t="s">
        <v>787</v>
      </c>
      <c r="E12" s="19" t="s">
        <v>156</v>
      </c>
    </row>
    <row r="13" spans="1:5" ht="15" customHeight="1" thickBot="1">
      <c r="A13" s="91" t="s">
        <v>788</v>
      </c>
      <c r="B13" s="19" t="s">
        <v>159</v>
      </c>
      <c r="D13" s="91" t="s">
        <v>788</v>
      </c>
      <c r="E13" s="19" t="s">
        <v>160</v>
      </c>
    </row>
    <row r="14" spans="1:5" ht="15" customHeight="1" thickBot="1">
      <c r="A14" s="91" t="s">
        <v>789</v>
      </c>
      <c r="B14" s="19" t="s">
        <v>487</v>
      </c>
      <c r="D14" s="91" t="s">
        <v>789</v>
      </c>
      <c r="E14" s="19" t="s">
        <v>488</v>
      </c>
    </row>
    <row r="15" spans="1:5" ht="15" customHeight="1" thickBot="1">
      <c r="A15" s="91" t="s">
        <v>790</v>
      </c>
      <c r="B15" s="19" t="s">
        <v>492</v>
      </c>
      <c r="D15" s="91" t="s">
        <v>790</v>
      </c>
      <c r="E15" s="19" t="s">
        <v>493</v>
      </c>
    </row>
    <row r="16" spans="1:5" ht="15" customHeight="1" thickBot="1">
      <c r="A16" s="91" t="s">
        <v>792</v>
      </c>
      <c r="B16" s="19" t="s">
        <v>497</v>
      </c>
      <c r="D16" s="91" t="s">
        <v>792</v>
      </c>
      <c r="E16" s="19" t="s">
        <v>498</v>
      </c>
    </row>
    <row r="17" spans="1:5" ht="15" customHeight="1" thickBot="1">
      <c r="A17" s="91" t="s">
        <v>794</v>
      </c>
      <c r="B17" s="19" t="s">
        <v>501</v>
      </c>
      <c r="D17" s="91" t="s">
        <v>837</v>
      </c>
      <c r="E17" s="19" t="s">
        <v>502</v>
      </c>
    </row>
    <row r="18" spans="1:5">
      <c r="A18" s="945" t="s">
        <v>56</v>
      </c>
      <c r="B18" s="947" t="s">
        <v>834</v>
      </c>
      <c r="D18" s="945" t="s">
        <v>56</v>
      </c>
      <c r="E18" s="52" t="s">
        <v>59</v>
      </c>
    </row>
    <row r="19" spans="1:5" ht="15.75" thickBot="1">
      <c r="A19" s="946"/>
      <c r="B19" s="948"/>
      <c r="D19" s="946"/>
      <c r="E19" s="68" t="s">
        <v>838</v>
      </c>
    </row>
    <row r="20" spans="1:5" ht="15.75" thickTop="1"/>
    <row r="21" spans="1:5" ht="15.75" thickBot="1"/>
    <row r="22" spans="1:5" ht="28.5" customHeight="1" thickTop="1" thickBot="1">
      <c r="A22" s="933" t="s">
        <v>839</v>
      </c>
      <c r="B22" s="934"/>
      <c r="C22" s="934"/>
      <c r="D22" s="934"/>
      <c r="E22" s="935"/>
    </row>
    <row r="23" spans="1:5" ht="30" customHeight="1" thickBot="1">
      <c r="A23" s="936" t="s">
        <v>139</v>
      </c>
      <c r="B23" s="937"/>
      <c r="C23" s="937"/>
      <c r="D23" s="937"/>
      <c r="E23" s="938"/>
    </row>
    <row r="24" spans="1:5" ht="15.75" customHeight="1" thickBot="1">
      <c r="A24" s="936" t="s">
        <v>221</v>
      </c>
      <c r="B24" s="937"/>
      <c r="C24" s="937"/>
      <c r="D24" s="937"/>
      <c r="E24" s="938"/>
    </row>
    <row r="25" spans="1:5" ht="65.25" customHeight="1" thickBot="1">
      <c r="A25" s="949" t="s">
        <v>840</v>
      </c>
      <c r="B25" s="950"/>
      <c r="C25" s="950"/>
      <c r="D25" s="951"/>
      <c r="E25" s="952"/>
    </row>
    <row r="26" spans="1:5" ht="15.75" thickTop="1">
      <c r="A26" s="942"/>
      <c r="B26" s="942"/>
    </row>
  </sheetData>
  <mergeCells count="13">
    <mergeCell ref="A26:B26"/>
    <mergeCell ref="A22:E22"/>
    <mergeCell ref="A23:E23"/>
    <mergeCell ref="A1:B1"/>
    <mergeCell ref="A2:B2"/>
    <mergeCell ref="A18:A19"/>
    <mergeCell ref="B18:B19"/>
    <mergeCell ref="A24:E24"/>
    <mergeCell ref="A25:C25"/>
    <mergeCell ref="D25:E25"/>
    <mergeCell ref="D1:E1"/>
    <mergeCell ref="D2:E2"/>
    <mergeCell ref="D18:D19"/>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sheetPr codeName="Sheet21"/>
  <dimension ref="A1:G25"/>
  <sheetViews>
    <sheetView workbookViewId="0">
      <selection activeCell="J19" sqref="J19"/>
    </sheetView>
  </sheetViews>
  <sheetFormatPr defaultRowHeight="15"/>
  <cols>
    <col min="1" max="1" width="35" customWidth="1"/>
  </cols>
  <sheetData>
    <row r="1" spans="1:7" ht="28.5" customHeight="1" thickTop="1">
      <c r="A1" s="914" t="s">
        <v>841</v>
      </c>
      <c r="B1" s="915"/>
      <c r="C1" s="915"/>
      <c r="D1" s="915"/>
      <c r="E1" s="915"/>
      <c r="F1" s="915"/>
      <c r="G1" s="916"/>
    </row>
    <row r="2" spans="1:7" ht="15" customHeight="1">
      <c r="A2" s="917" t="s">
        <v>237</v>
      </c>
      <c r="B2" s="918"/>
      <c r="C2" s="918"/>
      <c r="D2" s="918"/>
      <c r="E2" s="918"/>
      <c r="F2" s="918"/>
      <c r="G2" s="919"/>
    </row>
    <row r="3" spans="1:7" ht="16.5" thickBot="1">
      <c r="A3" s="920"/>
      <c r="B3" s="921"/>
      <c r="C3" s="921"/>
      <c r="D3" s="921"/>
      <c r="E3" s="921"/>
      <c r="F3" s="921"/>
      <c r="G3" s="922"/>
    </row>
    <row r="4" spans="1:7" ht="24" customHeight="1" thickBot="1">
      <c r="A4" s="955" t="s">
        <v>842</v>
      </c>
      <c r="B4" s="960" t="s">
        <v>257</v>
      </c>
      <c r="C4" s="960"/>
      <c r="D4" s="960" t="s">
        <v>258</v>
      </c>
      <c r="E4" s="960"/>
      <c r="F4" s="960" t="s">
        <v>259</v>
      </c>
      <c r="G4" s="961"/>
    </row>
    <row r="5" spans="1:7" ht="27" thickBot="1">
      <c r="A5" s="956"/>
      <c r="B5" s="65" t="s">
        <v>262</v>
      </c>
      <c r="C5" s="65" t="s">
        <v>263</v>
      </c>
      <c r="D5" s="65" t="s">
        <v>262</v>
      </c>
      <c r="E5" s="65" t="s">
        <v>263</v>
      </c>
      <c r="F5" s="65" t="s">
        <v>262</v>
      </c>
      <c r="G5" s="66" t="s">
        <v>263</v>
      </c>
    </row>
    <row r="6" spans="1:7" ht="15.75" thickBot="1">
      <c r="A6" s="957" t="s">
        <v>277</v>
      </c>
      <c r="B6" s="958"/>
      <c r="C6" s="958"/>
      <c r="D6" s="958"/>
      <c r="E6" s="958"/>
      <c r="F6" s="958"/>
      <c r="G6" s="959"/>
    </row>
    <row r="7" spans="1:7" ht="15" customHeight="1" thickBot="1">
      <c r="A7" s="57" t="s">
        <v>278</v>
      </c>
      <c r="B7" s="31" t="s">
        <v>472</v>
      </c>
      <c r="C7" s="31" t="s">
        <v>169</v>
      </c>
      <c r="D7" s="31" t="s">
        <v>170</v>
      </c>
      <c r="E7" s="31" t="s">
        <v>171</v>
      </c>
      <c r="F7" s="56" t="s">
        <v>843</v>
      </c>
      <c r="G7" s="58" t="s">
        <v>844</v>
      </c>
    </row>
    <row r="8" spans="1:7" ht="15" customHeight="1" thickBot="1">
      <c r="A8" s="92" t="s">
        <v>845</v>
      </c>
      <c r="B8" s="31" t="s">
        <v>129</v>
      </c>
      <c r="C8" s="31" t="s">
        <v>176</v>
      </c>
      <c r="D8" s="31" t="s">
        <v>177</v>
      </c>
      <c r="E8" s="31" t="s">
        <v>178</v>
      </c>
      <c r="F8" s="56" t="s">
        <v>846</v>
      </c>
      <c r="G8" s="58" t="s">
        <v>847</v>
      </c>
    </row>
    <row r="9" spans="1:7" ht="15" customHeight="1" thickBot="1">
      <c r="A9" s="57" t="s">
        <v>303</v>
      </c>
      <c r="B9" s="31" t="s">
        <v>133</v>
      </c>
      <c r="C9" s="31" t="s">
        <v>180</v>
      </c>
      <c r="D9" s="31" t="s">
        <v>181</v>
      </c>
      <c r="E9" s="31" t="s">
        <v>182</v>
      </c>
      <c r="F9" s="56" t="s">
        <v>848</v>
      </c>
      <c r="G9" s="58" t="s">
        <v>849</v>
      </c>
    </row>
    <row r="10" spans="1:7" ht="15" customHeight="1" thickBot="1">
      <c r="A10" s="57" t="s">
        <v>316</v>
      </c>
      <c r="B10" s="31" t="s">
        <v>137</v>
      </c>
      <c r="C10" s="31" t="s">
        <v>184</v>
      </c>
      <c r="D10" s="31" t="s">
        <v>185</v>
      </c>
      <c r="E10" s="31" t="s">
        <v>186</v>
      </c>
      <c r="F10" s="56" t="s">
        <v>850</v>
      </c>
      <c r="G10" s="58" t="s">
        <v>851</v>
      </c>
    </row>
    <row r="11" spans="1:7" ht="15" customHeight="1" thickBot="1">
      <c r="A11" s="57" t="s">
        <v>329</v>
      </c>
      <c r="B11" s="31" t="s">
        <v>629</v>
      </c>
      <c r="C11" s="31" t="s">
        <v>188</v>
      </c>
      <c r="D11" s="31" t="s">
        <v>189</v>
      </c>
      <c r="E11" s="31" t="s">
        <v>190</v>
      </c>
      <c r="F11" s="56" t="s">
        <v>852</v>
      </c>
      <c r="G11" s="58" t="s">
        <v>853</v>
      </c>
    </row>
    <row r="12" spans="1:7" ht="26.25" customHeight="1" thickBot="1">
      <c r="A12" s="57" t="s">
        <v>854</v>
      </c>
      <c r="B12" s="31" t="s">
        <v>143</v>
      </c>
      <c r="C12" s="31" t="s">
        <v>477</v>
      </c>
      <c r="D12" s="31" t="s">
        <v>527</v>
      </c>
      <c r="E12" s="31" t="s">
        <v>528</v>
      </c>
      <c r="F12" s="56" t="s">
        <v>855</v>
      </c>
      <c r="G12" s="58" t="s">
        <v>856</v>
      </c>
    </row>
    <row r="13" spans="1:7" ht="15" customHeight="1" thickBot="1">
      <c r="A13" s="93" t="s">
        <v>857</v>
      </c>
      <c r="B13" s="56" t="s">
        <v>858</v>
      </c>
      <c r="C13" s="56" t="s">
        <v>859</v>
      </c>
      <c r="D13" s="56" t="s">
        <v>860</v>
      </c>
      <c r="E13" s="56" t="s">
        <v>861</v>
      </c>
      <c r="F13" s="56" t="s">
        <v>862</v>
      </c>
      <c r="G13" s="58" t="s">
        <v>863</v>
      </c>
    </row>
    <row r="14" spans="1:7" ht="15.75" thickBot="1">
      <c r="A14" s="957" t="s">
        <v>354</v>
      </c>
      <c r="B14" s="958"/>
      <c r="C14" s="958"/>
      <c r="D14" s="958"/>
      <c r="E14" s="958"/>
      <c r="F14" s="958"/>
      <c r="G14" s="959"/>
    </row>
    <row r="15" spans="1:7" ht="15" customHeight="1" thickBot="1">
      <c r="A15" s="57" t="s">
        <v>864</v>
      </c>
      <c r="B15" s="31" t="s">
        <v>153</v>
      </c>
      <c r="C15" s="31" t="s">
        <v>480</v>
      </c>
      <c r="D15" s="31" t="s">
        <v>632</v>
      </c>
      <c r="E15" s="31" t="s">
        <v>633</v>
      </c>
      <c r="F15" s="56" t="s">
        <v>865</v>
      </c>
      <c r="G15" s="58" t="s">
        <v>866</v>
      </c>
    </row>
    <row r="16" spans="1:7" ht="15" customHeight="1" thickBot="1">
      <c r="A16" s="57" t="s">
        <v>368</v>
      </c>
      <c r="B16" s="31" t="s">
        <v>157</v>
      </c>
      <c r="C16" s="31" t="s">
        <v>482</v>
      </c>
      <c r="D16" s="31" t="s">
        <v>636</v>
      </c>
      <c r="E16" s="31" t="s">
        <v>637</v>
      </c>
      <c r="F16" s="56" t="s">
        <v>867</v>
      </c>
      <c r="G16" s="58" t="s">
        <v>868</v>
      </c>
    </row>
    <row r="17" spans="1:7" ht="15" customHeight="1" thickBot="1">
      <c r="A17" s="57" t="s">
        <v>869</v>
      </c>
      <c r="B17" s="31" t="s">
        <v>484</v>
      </c>
      <c r="C17" s="31" t="s">
        <v>485</v>
      </c>
      <c r="D17" s="31" t="s">
        <v>639</v>
      </c>
      <c r="E17" s="31" t="s">
        <v>640</v>
      </c>
      <c r="F17" s="56" t="s">
        <v>870</v>
      </c>
      <c r="G17" s="58" t="s">
        <v>871</v>
      </c>
    </row>
    <row r="18" spans="1:7" ht="15" customHeight="1" thickBot="1">
      <c r="A18" s="57" t="s">
        <v>393</v>
      </c>
      <c r="B18" s="31" t="s">
        <v>489</v>
      </c>
      <c r="C18" s="31" t="s">
        <v>490</v>
      </c>
      <c r="D18" s="31" t="s">
        <v>642</v>
      </c>
      <c r="E18" s="31" t="s">
        <v>643</v>
      </c>
      <c r="F18" s="56" t="s">
        <v>872</v>
      </c>
      <c r="G18" s="58" t="s">
        <v>873</v>
      </c>
    </row>
    <row r="19" spans="1:7" ht="15" customHeight="1" thickBot="1">
      <c r="A19" s="57" t="s">
        <v>406</v>
      </c>
      <c r="B19" s="31" t="s">
        <v>494</v>
      </c>
      <c r="C19" s="31" t="s">
        <v>495</v>
      </c>
      <c r="D19" s="31" t="s">
        <v>645</v>
      </c>
      <c r="E19" s="31" t="s">
        <v>646</v>
      </c>
      <c r="F19" s="56" t="s">
        <v>874</v>
      </c>
      <c r="G19" s="58" t="s">
        <v>875</v>
      </c>
    </row>
    <row r="20" spans="1:7" ht="26.25" customHeight="1" thickBot="1">
      <c r="A20" s="57" t="s">
        <v>876</v>
      </c>
      <c r="B20" s="31" t="s">
        <v>499</v>
      </c>
      <c r="C20" s="31" t="s">
        <v>500</v>
      </c>
      <c r="D20" s="31" t="s">
        <v>649</v>
      </c>
      <c r="E20" s="31" t="s">
        <v>650</v>
      </c>
      <c r="F20" s="56" t="s">
        <v>877</v>
      </c>
      <c r="G20" s="58" t="s">
        <v>878</v>
      </c>
    </row>
    <row r="21" spans="1:7" ht="15" customHeight="1" thickBot="1">
      <c r="A21" s="93" t="s">
        <v>879</v>
      </c>
      <c r="B21" s="56" t="s">
        <v>880</v>
      </c>
      <c r="C21" s="56" t="s">
        <v>881</v>
      </c>
      <c r="D21" s="56" t="s">
        <v>882</v>
      </c>
      <c r="E21" s="56" t="s">
        <v>883</v>
      </c>
      <c r="F21" s="56" t="s">
        <v>884</v>
      </c>
      <c r="G21" s="58" t="s">
        <v>885</v>
      </c>
    </row>
    <row r="22" spans="1:7" ht="15" customHeight="1" thickBot="1">
      <c r="A22" s="67" t="s">
        <v>886</v>
      </c>
      <c r="B22" s="94"/>
      <c r="C22" s="94"/>
      <c r="D22" s="94"/>
      <c r="E22" s="94"/>
      <c r="F22" s="65" t="s">
        <v>547</v>
      </c>
      <c r="G22" s="66" t="s">
        <v>887</v>
      </c>
    </row>
    <row r="23" spans="1:7" ht="15" customHeight="1" thickBot="1">
      <c r="A23" s="67" t="s">
        <v>888</v>
      </c>
      <c r="B23" s="94"/>
      <c r="C23" s="94"/>
      <c r="D23" s="94"/>
      <c r="E23" s="94"/>
      <c r="F23" s="65" t="s">
        <v>889</v>
      </c>
      <c r="G23" s="66" t="s">
        <v>890</v>
      </c>
    </row>
    <row r="24" spans="1:7" ht="15" customHeight="1" thickBot="1">
      <c r="A24" s="95" t="s">
        <v>259</v>
      </c>
      <c r="B24" s="59" t="s">
        <v>891</v>
      </c>
      <c r="C24" s="59" t="s">
        <v>892</v>
      </c>
      <c r="D24" s="59" t="s">
        <v>893</v>
      </c>
      <c r="E24" s="59" t="s">
        <v>894</v>
      </c>
      <c r="F24" s="59" t="s">
        <v>895</v>
      </c>
      <c r="G24" s="60" t="s">
        <v>896</v>
      </c>
    </row>
    <row r="25" spans="1:7" ht="15.75" thickTop="1"/>
  </sheetData>
  <mergeCells count="9">
    <mergeCell ref="A4:A5"/>
    <mergeCell ref="A14:G14"/>
    <mergeCell ref="A6:G6"/>
    <mergeCell ref="A1:G1"/>
    <mergeCell ref="A2:G2"/>
    <mergeCell ref="A3:G3"/>
    <mergeCell ref="B4:C4"/>
    <mergeCell ref="D4:E4"/>
    <mergeCell ref="F4:G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sheetPr codeName="Sheet22"/>
  <dimension ref="A1:H33"/>
  <sheetViews>
    <sheetView workbookViewId="0">
      <selection activeCell="C6" sqref="C6:C7"/>
    </sheetView>
  </sheetViews>
  <sheetFormatPr defaultRowHeight="15"/>
  <cols>
    <col min="2" max="2" width="17.85546875" customWidth="1"/>
    <col min="3" max="3" width="32.7109375" customWidth="1"/>
    <col min="4" max="4" width="12.42578125" customWidth="1"/>
    <col min="5" max="5" width="22.5703125" customWidth="1"/>
    <col min="6" max="6" width="7.5703125" customWidth="1"/>
    <col min="7" max="7" width="9.42578125" customWidth="1"/>
  </cols>
  <sheetData>
    <row r="1" spans="1:8" ht="15.75" customHeight="1" thickTop="1">
      <c r="A1" s="462" t="s">
        <v>897</v>
      </c>
      <c r="B1" s="463"/>
      <c r="C1" s="463"/>
      <c r="D1" s="463"/>
      <c r="E1" s="463"/>
      <c r="F1" s="463"/>
      <c r="G1" s="463"/>
      <c r="H1" s="464"/>
    </row>
    <row r="2" spans="1:8" ht="12.75" customHeight="1">
      <c r="A2" s="943" t="s">
        <v>898</v>
      </c>
      <c r="B2" s="847"/>
      <c r="C2" s="847"/>
      <c r="D2" s="847"/>
      <c r="E2" s="847"/>
      <c r="F2" s="847"/>
      <c r="G2" s="847"/>
      <c r="H2" s="944"/>
    </row>
    <row r="3" spans="1:8" ht="14.25" customHeight="1" thickBot="1">
      <c r="A3" s="465" t="s">
        <v>221</v>
      </c>
      <c r="B3" s="466"/>
      <c r="C3" s="466"/>
      <c r="D3" s="466"/>
      <c r="E3" s="466"/>
      <c r="F3" s="466"/>
      <c r="G3" s="466"/>
      <c r="H3" s="467"/>
    </row>
    <row r="4" spans="1:8" ht="46.5" customHeight="1" thickTop="1" thickBot="1">
      <c r="A4" s="102" t="s">
        <v>899</v>
      </c>
      <c r="B4" s="102" t="s">
        <v>900</v>
      </c>
      <c r="C4" s="102" t="s">
        <v>901</v>
      </c>
      <c r="D4" s="102" t="s">
        <v>902</v>
      </c>
      <c r="E4" s="102" t="s">
        <v>903</v>
      </c>
      <c r="F4" s="103" t="s">
        <v>1048</v>
      </c>
      <c r="G4" s="103" t="s">
        <v>1047</v>
      </c>
      <c r="H4" s="102" t="s">
        <v>907</v>
      </c>
    </row>
    <row r="5" spans="1:8" ht="16.5" customHeight="1" thickTop="1" thickBot="1">
      <c r="A5" s="979" t="s">
        <v>908</v>
      </c>
      <c r="B5" s="980"/>
      <c r="C5" s="980"/>
      <c r="D5" s="980"/>
      <c r="E5" s="980"/>
      <c r="F5" s="980"/>
      <c r="G5" s="980"/>
      <c r="H5" s="981"/>
    </row>
    <row r="6" spans="1:8" ht="21" customHeight="1">
      <c r="A6" s="965" t="s">
        <v>909</v>
      </c>
      <c r="B6" s="968" t="s">
        <v>910</v>
      </c>
      <c r="C6" s="975" t="s">
        <v>911</v>
      </c>
      <c r="D6" s="977" t="s">
        <v>224</v>
      </c>
      <c r="E6" s="121" t="s">
        <v>912</v>
      </c>
      <c r="F6" s="53" t="s">
        <v>59</v>
      </c>
      <c r="G6" s="974" t="s">
        <v>245</v>
      </c>
      <c r="H6" s="53" t="s">
        <v>59</v>
      </c>
    </row>
    <row r="7" spans="1:8" ht="11.25" customHeight="1" thickBot="1">
      <c r="A7" s="967"/>
      <c r="B7" s="969"/>
      <c r="C7" s="976"/>
      <c r="D7" s="978"/>
      <c r="E7" s="122" t="s">
        <v>1046</v>
      </c>
      <c r="F7" s="54" t="s">
        <v>913</v>
      </c>
      <c r="G7" s="971"/>
      <c r="H7" s="54" t="s">
        <v>914</v>
      </c>
    </row>
    <row r="8" spans="1:8" ht="21.75" customHeight="1">
      <c r="A8" s="965" t="s">
        <v>915</v>
      </c>
      <c r="B8" s="968" t="s">
        <v>916</v>
      </c>
      <c r="C8" s="975" t="s">
        <v>917</v>
      </c>
      <c r="D8" s="977" t="s">
        <v>226</v>
      </c>
      <c r="E8" s="123" t="s">
        <v>918</v>
      </c>
      <c r="F8" s="53" t="s">
        <v>59</v>
      </c>
      <c r="G8" s="974" t="s">
        <v>247</v>
      </c>
      <c r="H8" s="53" t="s">
        <v>59</v>
      </c>
    </row>
    <row r="9" spans="1:8" ht="10.5" customHeight="1" thickBot="1">
      <c r="A9" s="966"/>
      <c r="B9" s="969"/>
      <c r="C9" s="976"/>
      <c r="D9" s="978"/>
      <c r="E9" s="122" t="s">
        <v>919</v>
      </c>
      <c r="F9" s="54" t="s">
        <v>920</v>
      </c>
      <c r="G9" s="971"/>
      <c r="H9" s="54" t="s">
        <v>921</v>
      </c>
    </row>
    <row r="10" spans="1:8" ht="18.75" customHeight="1">
      <c r="A10" s="966"/>
      <c r="B10" s="968" t="s">
        <v>916</v>
      </c>
      <c r="C10" s="975" t="s">
        <v>922</v>
      </c>
      <c r="D10" s="977" t="s">
        <v>228</v>
      </c>
      <c r="E10" s="123" t="s">
        <v>923</v>
      </c>
      <c r="F10" s="53" t="s">
        <v>59</v>
      </c>
      <c r="G10" s="97"/>
      <c r="H10" s="53" t="s">
        <v>59</v>
      </c>
    </row>
    <row r="11" spans="1:8" ht="12.75" customHeight="1" thickBot="1">
      <c r="A11" s="967"/>
      <c r="B11" s="969"/>
      <c r="C11" s="976"/>
      <c r="D11" s="978"/>
      <c r="E11" s="122" t="s">
        <v>924</v>
      </c>
      <c r="F11" s="54" t="s">
        <v>925</v>
      </c>
      <c r="G11" s="98" t="s">
        <v>249</v>
      </c>
      <c r="H11" s="54" t="s">
        <v>926</v>
      </c>
    </row>
    <row r="12" spans="1:8" ht="15" customHeight="1" thickBot="1">
      <c r="A12" s="962" t="s">
        <v>927</v>
      </c>
      <c r="B12" s="963"/>
      <c r="C12" s="963"/>
      <c r="D12" s="963"/>
      <c r="E12" s="963"/>
      <c r="F12" s="963"/>
      <c r="G12" s="963"/>
      <c r="H12" s="964"/>
    </row>
    <row r="13" spans="1:8" ht="19.5" customHeight="1">
      <c r="A13" s="965" t="s">
        <v>909</v>
      </c>
      <c r="B13" s="968" t="s">
        <v>910</v>
      </c>
      <c r="C13" s="972" t="s">
        <v>928</v>
      </c>
      <c r="D13" s="970" t="s">
        <v>230</v>
      </c>
      <c r="E13" s="119" t="s">
        <v>929</v>
      </c>
      <c r="F13" s="53" t="s">
        <v>59</v>
      </c>
      <c r="G13" s="974" t="s">
        <v>251</v>
      </c>
      <c r="H13" s="53" t="s">
        <v>59</v>
      </c>
    </row>
    <row r="14" spans="1:8" ht="12" customHeight="1" thickBot="1">
      <c r="A14" s="967"/>
      <c r="B14" s="969"/>
      <c r="C14" s="973"/>
      <c r="D14" s="971"/>
      <c r="E14" s="120" t="s">
        <v>930</v>
      </c>
      <c r="F14" s="54" t="s">
        <v>931</v>
      </c>
      <c r="G14" s="971"/>
      <c r="H14" s="54" t="s">
        <v>932</v>
      </c>
    </row>
    <row r="15" spans="1:8" ht="20.25" customHeight="1">
      <c r="A15" s="965" t="s">
        <v>915</v>
      </c>
      <c r="B15" s="968" t="s">
        <v>916</v>
      </c>
      <c r="C15" s="972" t="s">
        <v>933</v>
      </c>
      <c r="D15" s="970" t="s">
        <v>526</v>
      </c>
      <c r="E15" s="119" t="s">
        <v>918</v>
      </c>
      <c r="F15" s="53" t="s">
        <v>59</v>
      </c>
      <c r="G15" s="97"/>
      <c r="H15" s="53" t="s">
        <v>59</v>
      </c>
    </row>
    <row r="16" spans="1:8" ht="14.25" customHeight="1" thickBot="1">
      <c r="A16" s="966"/>
      <c r="B16" s="969"/>
      <c r="C16" s="973"/>
      <c r="D16" s="971"/>
      <c r="E16" s="120" t="s">
        <v>934</v>
      </c>
      <c r="F16" s="54" t="s">
        <v>935</v>
      </c>
      <c r="G16" s="98" t="s">
        <v>252</v>
      </c>
      <c r="H16" s="54" t="s">
        <v>936</v>
      </c>
    </row>
    <row r="17" spans="1:8" ht="18.75" customHeight="1">
      <c r="A17" s="966"/>
      <c r="B17" s="968" t="s">
        <v>916</v>
      </c>
      <c r="C17" s="972" t="s">
        <v>937</v>
      </c>
      <c r="D17" s="970" t="s">
        <v>630</v>
      </c>
      <c r="E17" s="119" t="s">
        <v>923</v>
      </c>
      <c r="F17" s="53" t="s">
        <v>59</v>
      </c>
      <c r="G17" s="97"/>
      <c r="H17" s="53" t="s">
        <v>59</v>
      </c>
    </row>
    <row r="18" spans="1:8" ht="12" customHeight="1" thickBot="1">
      <c r="A18" s="967"/>
      <c r="B18" s="969"/>
      <c r="C18" s="973"/>
      <c r="D18" s="971"/>
      <c r="E18" s="120" t="s">
        <v>938</v>
      </c>
      <c r="F18" s="54" t="s">
        <v>939</v>
      </c>
      <c r="G18" s="98" t="s">
        <v>254</v>
      </c>
      <c r="H18" s="54" t="s">
        <v>940</v>
      </c>
    </row>
    <row r="20" spans="1:8" ht="19.5" customHeight="1"/>
    <row r="21" spans="1:8" ht="15" customHeight="1"/>
    <row r="22" spans="1:8" ht="27.75" customHeight="1"/>
    <row r="23" spans="1:8" ht="15" customHeight="1"/>
    <row r="24" spans="1:8" ht="27.75" customHeight="1"/>
    <row r="25" spans="1:8" ht="12.75" customHeight="1"/>
    <row r="26" spans="1:8" ht="28.5" customHeight="1"/>
    <row r="27" spans="1:8" ht="15" customHeight="1"/>
    <row r="28" spans="1:8" ht="27.75" customHeight="1"/>
    <row r="29" spans="1:8" ht="14.25" customHeight="1"/>
    <row r="30" spans="1:8" ht="30.75" customHeight="1"/>
    <row r="31" spans="1:8" ht="16.5" customHeight="1"/>
    <row r="32" spans="1:8" ht="27.75" customHeight="1"/>
    <row r="33" ht="14.25" customHeight="1"/>
  </sheetData>
  <mergeCells count="30">
    <mergeCell ref="A1:H1"/>
    <mergeCell ref="A2:H2"/>
    <mergeCell ref="A3:H3"/>
    <mergeCell ref="A6:A7"/>
    <mergeCell ref="B6:B7"/>
    <mergeCell ref="C6:C7"/>
    <mergeCell ref="G6:G7"/>
    <mergeCell ref="D6:D7"/>
    <mergeCell ref="A5:H5"/>
    <mergeCell ref="A8:A11"/>
    <mergeCell ref="B8:B9"/>
    <mergeCell ref="C8:C9"/>
    <mergeCell ref="G8:G9"/>
    <mergeCell ref="B10:B11"/>
    <mergeCell ref="C10:C11"/>
    <mergeCell ref="D8:D9"/>
    <mergeCell ref="D10:D11"/>
    <mergeCell ref="A12:H12"/>
    <mergeCell ref="A15:A18"/>
    <mergeCell ref="B15:B16"/>
    <mergeCell ref="D15:D16"/>
    <mergeCell ref="B17:B18"/>
    <mergeCell ref="D17:D18"/>
    <mergeCell ref="C15:C16"/>
    <mergeCell ref="C17:C18"/>
    <mergeCell ref="A13:A14"/>
    <mergeCell ref="B13:B14"/>
    <mergeCell ref="D13:D14"/>
    <mergeCell ref="G13:G14"/>
    <mergeCell ref="C13:C14"/>
  </mergeCells>
  <pageMargins left="0.7" right="0.7" top="0.75" bottom="0.75" header="0.3" footer="0.3"/>
  <pageSetup orientation="landscape" r:id="rId1"/>
</worksheet>
</file>

<file path=xl/worksheets/sheet24.xml><?xml version="1.0" encoding="utf-8"?>
<worksheet xmlns="http://schemas.openxmlformats.org/spreadsheetml/2006/main" xmlns:r="http://schemas.openxmlformats.org/officeDocument/2006/relationships">
  <sheetPr codeName="Sheet23"/>
  <dimension ref="A1:H20"/>
  <sheetViews>
    <sheetView workbookViewId="0">
      <selection sqref="A1:H1"/>
    </sheetView>
  </sheetViews>
  <sheetFormatPr defaultRowHeight="15"/>
  <cols>
    <col min="1" max="1" width="7.7109375" customWidth="1"/>
    <col min="2" max="2" width="12" customWidth="1"/>
    <col min="3" max="3" width="33.85546875" customWidth="1"/>
    <col min="4" max="4" width="10.7109375" customWidth="1"/>
    <col min="5" max="5" width="29.140625" customWidth="1"/>
    <col min="7" max="7" width="9.7109375" customWidth="1"/>
  </cols>
  <sheetData>
    <row r="1" spans="1:8" ht="15" customHeight="1" thickTop="1">
      <c r="A1" s="462" t="s">
        <v>941</v>
      </c>
      <c r="B1" s="463"/>
      <c r="C1" s="463"/>
      <c r="D1" s="463"/>
      <c r="E1" s="463"/>
      <c r="F1" s="463"/>
      <c r="G1" s="463"/>
      <c r="H1" s="464"/>
    </row>
    <row r="2" spans="1:8" ht="13.5" customHeight="1">
      <c r="A2" s="943" t="s">
        <v>942</v>
      </c>
      <c r="B2" s="847"/>
      <c r="C2" s="847"/>
      <c r="D2" s="847"/>
      <c r="E2" s="847"/>
      <c r="F2" s="847"/>
      <c r="G2" s="847"/>
      <c r="H2" s="944"/>
    </row>
    <row r="3" spans="1:8" ht="15.75" thickBot="1">
      <c r="A3" s="531" t="s">
        <v>221</v>
      </c>
      <c r="B3" s="532"/>
      <c r="C3" s="532"/>
      <c r="D3" s="532"/>
      <c r="E3" s="532"/>
      <c r="F3" s="532"/>
      <c r="G3" s="532"/>
      <c r="H3" s="533"/>
    </row>
    <row r="4" spans="1:8" ht="35.25" customHeight="1">
      <c r="A4" s="989" t="s">
        <v>899</v>
      </c>
      <c r="B4" s="989" t="s">
        <v>900</v>
      </c>
      <c r="C4" s="989" t="s">
        <v>901</v>
      </c>
      <c r="D4" s="991" t="s">
        <v>902</v>
      </c>
      <c r="E4" s="991" t="s">
        <v>903</v>
      </c>
      <c r="F4" s="103" t="s">
        <v>904</v>
      </c>
      <c r="G4" s="103" t="s">
        <v>906</v>
      </c>
      <c r="H4" s="991" t="s">
        <v>907</v>
      </c>
    </row>
    <row r="5" spans="1:8" ht="15.75" thickBot="1">
      <c r="A5" s="990"/>
      <c r="B5" s="990"/>
      <c r="C5" s="990"/>
      <c r="D5" s="992"/>
      <c r="E5" s="992"/>
      <c r="F5" s="104" t="s">
        <v>905</v>
      </c>
      <c r="G5" s="104" t="s">
        <v>905</v>
      </c>
      <c r="H5" s="992"/>
    </row>
    <row r="6" spans="1:8" ht="16.5" thickTop="1" thickBot="1">
      <c r="A6" s="979" t="s">
        <v>943</v>
      </c>
      <c r="B6" s="980"/>
      <c r="C6" s="980"/>
      <c r="D6" s="980"/>
      <c r="E6" s="980"/>
      <c r="F6" s="980"/>
      <c r="G6" s="980"/>
      <c r="H6" s="981"/>
    </row>
    <row r="7" spans="1:8" ht="12.75" customHeight="1">
      <c r="A7" s="965" t="s">
        <v>909</v>
      </c>
      <c r="B7" s="984" t="s">
        <v>910</v>
      </c>
      <c r="C7" s="975" t="s">
        <v>944</v>
      </c>
      <c r="D7" s="970" t="s">
        <v>631</v>
      </c>
      <c r="E7" s="63" t="s">
        <v>945</v>
      </c>
      <c r="F7" s="105" t="s">
        <v>59</v>
      </c>
      <c r="G7" s="974" t="s">
        <v>561</v>
      </c>
      <c r="H7" s="53" t="s">
        <v>59</v>
      </c>
    </row>
    <row r="8" spans="1:8" ht="15" customHeight="1" thickBot="1">
      <c r="A8" s="983"/>
      <c r="B8" s="985"/>
      <c r="C8" s="986"/>
      <c r="D8" s="987"/>
      <c r="E8" s="101" t="s">
        <v>946</v>
      </c>
      <c r="F8" s="106" t="s">
        <v>947</v>
      </c>
      <c r="G8" s="982"/>
      <c r="H8" s="54" t="s">
        <v>948</v>
      </c>
    </row>
    <row r="9" spans="1:8" ht="27" customHeight="1">
      <c r="A9" s="965" t="s">
        <v>949</v>
      </c>
      <c r="B9" s="96" t="s">
        <v>950</v>
      </c>
      <c r="C9" s="975" t="s">
        <v>952</v>
      </c>
      <c r="D9" s="970" t="s">
        <v>635</v>
      </c>
      <c r="E9" s="63" t="s">
        <v>953</v>
      </c>
      <c r="F9" s="105" t="s">
        <v>59</v>
      </c>
      <c r="G9" s="974" t="s">
        <v>563</v>
      </c>
      <c r="H9" s="53" t="s">
        <v>59</v>
      </c>
    </row>
    <row r="10" spans="1:8" ht="16.5" customHeight="1" thickBot="1">
      <c r="A10" s="988"/>
      <c r="B10" s="100" t="s">
        <v>951</v>
      </c>
      <c r="C10" s="986"/>
      <c r="D10" s="987"/>
      <c r="E10" s="101" t="s">
        <v>954</v>
      </c>
      <c r="F10" s="106" t="s">
        <v>955</v>
      </c>
      <c r="G10" s="982"/>
      <c r="H10" s="54" t="s">
        <v>956</v>
      </c>
    </row>
    <row r="11" spans="1:8" ht="29.25" customHeight="1">
      <c r="A11" s="988"/>
      <c r="B11" s="96" t="s">
        <v>950</v>
      </c>
      <c r="C11" s="975" t="s">
        <v>958</v>
      </c>
      <c r="D11" s="970" t="s">
        <v>638</v>
      </c>
      <c r="E11" s="63" t="s">
        <v>959</v>
      </c>
      <c r="F11" s="105" t="s">
        <v>59</v>
      </c>
      <c r="G11" s="97"/>
      <c r="H11" s="53" t="s">
        <v>59</v>
      </c>
    </row>
    <row r="12" spans="1:8" ht="17.25" customHeight="1" thickBot="1">
      <c r="A12" s="988"/>
      <c r="B12" s="100" t="s">
        <v>957</v>
      </c>
      <c r="C12" s="986"/>
      <c r="D12" s="987"/>
      <c r="E12" s="101" t="s">
        <v>960</v>
      </c>
      <c r="F12" s="106" t="s">
        <v>961</v>
      </c>
      <c r="G12" s="98" t="s">
        <v>565</v>
      </c>
      <c r="H12" s="54" t="s">
        <v>962</v>
      </c>
    </row>
    <row r="13" spans="1:8" ht="30" customHeight="1">
      <c r="A13" s="988"/>
      <c r="B13" s="96" t="s">
        <v>950</v>
      </c>
      <c r="C13" s="975" t="s">
        <v>964</v>
      </c>
      <c r="D13" s="970" t="s">
        <v>641</v>
      </c>
      <c r="E13" s="63" t="s">
        <v>965</v>
      </c>
      <c r="F13" s="105" t="s">
        <v>59</v>
      </c>
      <c r="G13" s="974" t="s">
        <v>566</v>
      </c>
      <c r="H13" s="53" t="s">
        <v>59</v>
      </c>
    </row>
    <row r="14" spans="1:8" ht="15" customHeight="1" thickBot="1">
      <c r="A14" s="988"/>
      <c r="B14" s="100" t="s">
        <v>963</v>
      </c>
      <c r="C14" s="986"/>
      <c r="D14" s="987"/>
      <c r="E14" s="101" t="s">
        <v>966</v>
      </c>
      <c r="F14" s="106" t="s">
        <v>967</v>
      </c>
      <c r="G14" s="982"/>
      <c r="H14" s="54" t="s">
        <v>968</v>
      </c>
    </row>
    <row r="15" spans="1:8" ht="28.5" customHeight="1">
      <c r="A15" s="988"/>
      <c r="B15" s="96" t="s">
        <v>950</v>
      </c>
      <c r="C15" s="975" t="s">
        <v>970</v>
      </c>
      <c r="D15" s="970" t="s">
        <v>644</v>
      </c>
      <c r="E15" s="63" t="s">
        <v>971</v>
      </c>
      <c r="F15" s="105" t="s">
        <v>59</v>
      </c>
      <c r="G15" s="974" t="s">
        <v>567</v>
      </c>
      <c r="H15" s="53" t="s">
        <v>59</v>
      </c>
    </row>
    <row r="16" spans="1:8" ht="15" customHeight="1" thickBot="1">
      <c r="A16" s="988"/>
      <c r="B16" s="100" t="s">
        <v>969</v>
      </c>
      <c r="C16" s="986"/>
      <c r="D16" s="987"/>
      <c r="E16" s="101" t="s">
        <v>972</v>
      </c>
      <c r="F16" s="106" t="s">
        <v>973</v>
      </c>
      <c r="G16" s="982"/>
      <c r="H16" s="54" t="s">
        <v>974</v>
      </c>
    </row>
    <row r="17" spans="1:8" ht="31.5" customHeight="1">
      <c r="A17" s="988"/>
      <c r="B17" s="96" t="s">
        <v>950</v>
      </c>
      <c r="C17" s="975" t="s">
        <v>976</v>
      </c>
      <c r="D17" s="970" t="s">
        <v>647</v>
      </c>
      <c r="E17" s="63" t="s">
        <v>977</v>
      </c>
      <c r="F17" s="105" t="s">
        <v>59</v>
      </c>
      <c r="G17" s="97"/>
      <c r="H17" s="53" t="s">
        <v>59</v>
      </c>
    </row>
    <row r="18" spans="1:8" ht="15" customHeight="1" thickBot="1">
      <c r="A18" s="988"/>
      <c r="B18" s="100" t="s">
        <v>975</v>
      </c>
      <c r="C18" s="986"/>
      <c r="D18" s="987"/>
      <c r="E18" s="101" t="s">
        <v>978</v>
      </c>
      <c r="F18" s="106" t="s">
        <v>979</v>
      </c>
      <c r="G18" s="98" t="s">
        <v>648</v>
      </c>
      <c r="H18" s="54" t="s">
        <v>980</v>
      </c>
    </row>
    <row r="19" spans="1:8" ht="28.5" customHeight="1">
      <c r="A19" s="988"/>
      <c r="B19" s="96" t="s">
        <v>950</v>
      </c>
      <c r="C19" s="975" t="s">
        <v>982</v>
      </c>
      <c r="D19" s="970" t="s">
        <v>651</v>
      </c>
      <c r="E19" s="63" t="s">
        <v>983</v>
      </c>
      <c r="F19" s="105" t="s">
        <v>59</v>
      </c>
      <c r="G19" s="974" t="s">
        <v>652</v>
      </c>
      <c r="H19" s="53" t="s">
        <v>59</v>
      </c>
    </row>
    <row r="20" spans="1:8" ht="15" customHeight="1" thickBot="1">
      <c r="A20" s="983"/>
      <c r="B20" s="100" t="s">
        <v>981</v>
      </c>
      <c r="C20" s="986"/>
      <c r="D20" s="987"/>
      <c r="E20" s="101" t="s">
        <v>984</v>
      </c>
      <c r="F20" s="106" t="s">
        <v>985</v>
      </c>
      <c r="G20" s="982"/>
      <c r="H20" s="54" t="s">
        <v>986</v>
      </c>
    </row>
  </sheetData>
  <mergeCells count="32">
    <mergeCell ref="D19:D20"/>
    <mergeCell ref="A1:H1"/>
    <mergeCell ref="A2:H2"/>
    <mergeCell ref="A3:H3"/>
    <mergeCell ref="A4:A5"/>
    <mergeCell ref="B4:B5"/>
    <mergeCell ref="C4:C5"/>
    <mergeCell ref="D4:D5"/>
    <mergeCell ref="E4:E5"/>
    <mergeCell ref="H4:H5"/>
    <mergeCell ref="G13:G14"/>
    <mergeCell ref="C15:C16"/>
    <mergeCell ref="D15:D16"/>
    <mergeCell ref="G15:G16"/>
    <mergeCell ref="C17:C18"/>
    <mergeCell ref="D17:D18"/>
    <mergeCell ref="G19:G20"/>
    <mergeCell ref="A6:H6"/>
    <mergeCell ref="A7:A8"/>
    <mergeCell ref="B7:B8"/>
    <mergeCell ref="C7:C8"/>
    <mergeCell ref="D7:D8"/>
    <mergeCell ref="G7:G8"/>
    <mergeCell ref="A9:A20"/>
    <mergeCell ref="C9:C10"/>
    <mergeCell ref="D9:D10"/>
    <mergeCell ref="G9:G10"/>
    <mergeCell ref="C11:C12"/>
    <mergeCell ref="D11:D12"/>
    <mergeCell ref="C13:C14"/>
    <mergeCell ref="D13:D14"/>
    <mergeCell ref="C19:C20"/>
  </mergeCells>
  <pageMargins left="0.7" right="0.7" top="0.75" bottom="0.75" header="0.3" footer="0.3"/>
  <pageSetup orientation="landscape" r:id="rId1"/>
</worksheet>
</file>

<file path=xl/worksheets/sheet25.xml><?xml version="1.0" encoding="utf-8"?>
<worksheet xmlns="http://schemas.openxmlformats.org/spreadsheetml/2006/main" xmlns:r="http://schemas.openxmlformats.org/officeDocument/2006/relationships">
  <sheetPr codeName="Sheet24"/>
  <dimension ref="A1:H27"/>
  <sheetViews>
    <sheetView topLeftCell="A13" workbookViewId="0">
      <selection activeCell="C33" sqref="C33"/>
    </sheetView>
  </sheetViews>
  <sheetFormatPr defaultRowHeight="15"/>
  <cols>
    <col min="3" max="3" width="39.7109375" customWidth="1"/>
    <col min="5" max="5" width="26.28515625" customWidth="1"/>
  </cols>
  <sheetData>
    <row r="1" spans="1:8" ht="28.5" customHeight="1">
      <c r="A1" s="993" t="s">
        <v>941</v>
      </c>
      <c r="B1" s="994"/>
      <c r="C1" s="994"/>
      <c r="D1" s="994"/>
      <c r="E1" s="994"/>
      <c r="F1" s="994"/>
      <c r="G1" s="994"/>
      <c r="H1" s="995"/>
    </row>
    <row r="2" spans="1:8" ht="15" customHeight="1">
      <c r="A2" s="73" t="s">
        <v>942</v>
      </c>
      <c r="B2" s="72"/>
      <c r="C2" s="72"/>
      <c r="D2" s="72"/>
      <c r="E2" s="72"/>
      <c r="F2" s="72"/>
      <c r="G2" s="72"/>
      <c r="H2" s="74"/>
    </row>
    <row r="3" spans="1:8" ht="15.75" customHeight="1" thickBot="1">
      <c r="A3" s="69" t="s">
        <v>221</v>
      </c>
      <c r="B3" s="70"/>
      <c r="C3" s="70"/>
      <c r="D3" s="70"/>
      <c r="E3" s="70"/>
      <c r="F3" s="70"/>
      <c r="G3" s="70"/>
      <c r="H3" s="71"/>
    </row>
    <row r="4" spans="1:8" ht="42" customHeight="1">
      <c r="A4" s="991" t="s">
        <v>899</v>
      </c>
      <c r="B4" s="991" t="s">
        <v>900</v>
      </c>
      <c r="C4" s="991" t="s">
        <v>987</v>
      </c>
      <c r="D4" s="991" t="s">
        <v>902</v>
      </c>
      <c r="E4" s="991" t="s">
        <v>903</v>
      </c>
      <c r="F4" s="103" t="s">
        <v>904</v>
      </c>
      <c r="G4" s="103" t="s">
        <v>906</v>
      </c>
      <c r="H4" s="991" t="s">
        <v>907</v>
      </c>
    </row>
    <row r="5" spans="1:8" ht="15.75" thickBot="1">
      <c r="A5" s="996"/>
      <c r="B5" s="996"/>
      <c r="C5" s="996"/>
      <c r="D5" s="996"/>
      <c r="E5" s="996"/>
      <c r="F5" s="75" t="s">
        <v>905</v>
      </c>
      <c r="G5" s="75" t="s">
        <v>905</v>
      </c>
      <c r="H5" s="996"/>
    </row>
    <row r="6" spans="1:8" ht="15.75" customHeight="1" thickBot="1">
      <c r="A6" s="998" t="s">
        <v>988</v>
      </c>
      <c r="B6" s="999"/>
      <c r="C6" s="999"/>
      <c r="D6" s="999"/>
      <c r="E6" s="999"/>
      <c r="F6" s="999"/>
      <c r="G6" s="999"/>
      <c r="H6" s="1000"/>
    </row>
    <row r="7" spans="1:8" ht="25.5" customHeight="1">
      <c r="A7" s="984" t="s">
        <v>909</v>
      </c>
      <c r="B7" s="99" t="s">
        <v>910</v>
      </c>
      <c r="C7" s="975" t="s">
        <v>928</v>
      </c>
      <c r="D7" s="970" t="s">
        <v>989</v>
      </c>
      <c r="E7" s="63" t="s">
        <v>929</v>
      </c>
      <c r="F7" s="105" t="s">
        <v>59</v>
      </c>
      <c r="G7" s="97"/>
      <c r="H7" s="53" t="s">
        <v>59</v>
      </c>
    </row>
    <row r="8" spans="1:8" ht="14.25" customHeight="1" thickBot="1">
      <c r="A8" s="985"/>
      <c r="B8" s="108"/>
      <c r="C8" s="986"/>
      <c r="D8" s="987"/>
      <c r="E8" s="101" t="s">
        <v>990</v>
      </c>
      <c r="F8" s="106" t="s">
        <v>991</v>
      </c>
      <c r="G8" s="98" t="s">
        <v>992</v>
      </c>
      <c r="H8" s="54" t="s">
        <v>993</v>
      </c>
    </row>
    <row r="9" spans="1:8" ht="24" customHeight="1">
      <c r="A9" s="984" t="s">
        <v>915</v>
      </c>
      <c r="B9" s="99" t="s">
        <v>916</v>
      </c>
      <c r="C9" s="975" t="s">
        <v>933</v>
      </c>
      <c r="D9" s="970" t="s">
        <v>887</v>
      </c>
      <c r="E9" s="63" t="s">
        <v>994</v>
      </c>
      <c r="F9" s="105" t="s">
        <v>59</v>
      </c>
      <c r="G9" s="974" t="s">
        <v>997</v>
      </c>
      <c r="H9" s="53" t="s">
        <v>59</v>
      </c>
    </row>
    <row r="10" spans="1:8" ht="24" customHeight="1" thickBot="1">
      <c r="A10" s="997"/>
      <c r="B10" s="108"/>
      <c r="C10" s="986"/>
      <c r="D10" s="987"/>
      <c r="E10" s="101" t="s">
        <v>995</v>
      </c>
      <c r="F10" s="106" t="s">
        <v>996</v>
      </c>
      <c r="G10" s="982"/>
      <c r="H10" s="54" t="s">
        <v>998</v>
      </c>
    </row>
    <row r="11" spans="1:8" ht="23.25" customHeight="1">
      <c r="A11" s="997"/>
      <c r="B11" s="99" t="s">
        <v>916</v>
      </c>
      <c r="C11" s="975" t="s">
        <v>937</v>
      </c>
      <c r="D11" s="970" t="s">
        <v>890</v>
      </c>
      <c r="E11" s="63" t="s">
        <v>923</v>
      </c>
      <c r="F11" s="105" t="s">
        <v>59</v>
      </c>
      <c r="G11" s="974" t="s">
        <v>1001</v>
      </c>
      <c r="H11" s="53" t="s">
        <v>59</v>
      </c>
    </row>
    <row r="12" spans="1:8" ht="15.75" customHeight="1" thickBot="1">
      <c r="A12" s="985"/>
      <c r="B12" s="108"/>
      <c r="C12" s="986"/>
      <c r="D12" s="987"/>
      <c r="E12" s="101" t="s">
        <v>999</v>
      </c>
      <c r="F12" s="106" t="s">
        <v>1000</v>
      </c>
      <c r="G12" s="982"/>
      <c r="H12" s="54" t="s">
        <v>1002</v>
      </c>
    </row>
    <row r="13" spans="1:8" ht="15.75" customHeight="1" thickBot="1">
      <c r="A13" s="1001" t="s">
        <v>1003</v>
      </c>
      <c r="B13" s="1002"/>
      <c r="C13" s="1002"/>
      <c r="D13" s="1002"/>
      <c r="E13" s="1002"/>
      <c r="F13" s="1002"/>
      <c r="G13" s="1002"/>
      <c r="H13" s="1003"/>
    </row>
    <row r="14" spans="1:8" ht="18" customHeight="1">
      <c r="A14" s="28" t="s">
        <v>909</v>
      </c>
      <c r="B14" s="984" t="s">
        <v>910</v>
      </c>
      <c r="C14" s="975" t="s">
        <v>1004</v>
      </c>
      <c r="D14" s="970" t="s">
        <v>1005</v>
      </c>
      <c r="E14" s="109" t="s">
        <v>912</v>
      </c>
      <c r="F14" s="107" t="s">
        <v>59</v>
      </c>
      <c r="G14" s="974" t="s">
        <v>1008</v>
      </c>
      <c r="H14" s="55" t="s">
        <v>59</v>
      </c>
    </row>
    <row r="15" spans="1:8" ht="9.75" customHeight="1" thickBot="1">
      <c r="A15" s="29"/>
      <c r="B15" s="985"/>
      <c r="C15" s="986"/>
      <c r="D15" s="987"/>
      <c r="E15" s="101" t="s">
        <v>1006</v>
      </c>
      <c r="F15" s="106" t="s">
        <v>1007</v>
      </c>
      <c r="G15" s="982"/>
      <c r="H15" s="54" t="s">
        <v>1009</v>
      </c>
    </row>
    <row r="16" spans="1:8" ht="23.25" customHeight="1">
      <c r="A16" s="1004" t="s">
        <v>909</v>
      </c>
      <c r="B16" s="984" t="s">
        <v>916</v>
      </c>
      <c r="C16" s="975" t="s">
        <v>1010</v>
      </c>
      <c r="D16" s="970" t="s">
        <v>1011</v>
      </c>
      <c r="E16" s="63" t="s">
        <v>918</v>
      </c>
      <c r="F16" s="105" t="s">
        <v>59</v>
      </c>
      <c r="G16" s="974" t="s">
        <v>1014</v>
      </c>
      <c r="H16" s="53" t="s">
        <v>59</v>
      </c>
    </row>
    <row r="17" spans="1:8" ht="15.75" customHeight="1" thickBot="1">
      <c r="A17" s="1005"/>
      <c r="B17" s="985"/>
      <c r="C17" s="986"/>
      <c r="D17" s="987"/>
      <c r="E17" s="101" t="s">
        <v>1012</v>
      </c>
      <c r="F17" s="106" t="s">
        <v>1013</v>
      </c>
      <c r="G17" s="982"/>
      <c r="H17" s="54" t="s">
        <v>1015</v>
      </c>
    </row>
    <row r="18" spans="1:8" ht="17.25" customHeight="1" thickBot="1">
      <c r="A18" s="1006" t="s">
        <v>1016</v>
      </c>
      <c r="B18" s="1007"/>
      <c r="C18" s="1007"/>
      <c r="D18" s="1007"/>
      <c r="E18" s="1007"/>
      <c r="F18" s="1007"/>
      <c r="G18" s="1007"/>
      <c r="H18" s="1008"/>
    </row>
    <row r="19" spans="1:8" ht="21" customHeight="1" thickBot="1">
      <c r="A19" s="1009" t="s">
        <v>909</v>
      </c>
      <c r="B19" s="1010" t="s">
        <v>1042</v>
      </c>
      <c r="C19" s="1012" t="s">
        <v>1017</v>
      </c>
      <c r="D19" s="1013" t="s">
        <v>1018</v>
      </c>
      <c r="E19" s="110" t="s">
        <v>1019</v>
      </c>
      <c r="F19" s="61" t="s">
        <v>59</v>
      </c>
      <c r="G19" s="1014" t="s">
        <v>1021</v>
      </c>
      <c r="H19" s="113" t="s">
        <v>59</v>
      </c>
    </row>
    <row r="20" spans="1:8" ht="13.5" customHeight="1" thickBot="1">
      <c r="A20" s="1009"/>
      <c r="B20" s="1011"/>
      <c r="C20" s="1012"/>
      <c r="D20" s="1013"/>
      <c r="E20" s="110" t="s">
        <v>1044</v>
      </c>
      <c r="F20" s="116" t="s">
        <v>1020</v>
      </c>
      <c r="G20" s="1014"/>
      <c r="H20" s="114" t="s">
        <v>1022</v>
      </c>
    </row>
    <row r="21" spans="1:8" ht="20.25" customHeight="1" thickBot="1">
      <c r="A21" s="1015" t="s">
        <v>909</v>
      </c>
      <c r="B21" s="1010" t="s">
        <v>1043</v>
      </c>
      <c r="C21" s="1016" t="s">
        <v>1023</v>
      </c>
      <c r="D21" s="1013" t="s">
        <v>1024</v>
      </c>
      <c r="E21" s="110" t="s">
        <v>1019</v>
      </c>
      <c r="F21" s="61" t="s">
        <v>59</v>
      </c>
      <c r="G21" s="111" t="s">
        <v>1026</v>
      </c>
      <c r="H21" s="113" t="s">
        <v>59</v>
      </c>
    </row>
    <row r="22" spans="1:8" ht="15.75" customHeight="1" thickBot="1">
      <c r="A22" s="1015"/>
      <c r="B22" s="1011"/>
      <c r="C22" s="1016"/>
      <c r="D22" s="1013"/>
      <c r="E22" s="110" t="s">
        <v>1045</v>
      </c>
      <c r="F22" s="116" t="s">
        <v>1025</v>
      </c>
      <c r="G22" s="111"/>
      <c r="H22" s="114" t="s">
        <v>1027</v>
      </c>
    </row>
    <row r="23" spans="1:8" ht="29.25" customHeight="1" thickBot="1">
      <c r="A23" s="1009" t="s">
        <v>915</v>
      </c>
      <c r="B23" s="1010" t="s">
        <v>916</v>
      </c>
      <c r="C23" s="1012" t="s">
        <v>1028</v>
      </c>
      <c r="D23" s="1013" t="s">
        <v>1029</v>
      </c>
      <c r="E23" s="112" t="s">
        <v>1030</v>
      </c>
      <c r="F23" s="61" t="s">
        <v>59</v>
      </c>
      <c r="G23" s="1014" t="s">
        <v>1033</v>
      </c>
      <c r="H23" s="113" t="s">
        <v>59</v>
      </c>
    </row>
    <row r="24" spans="1:8" ht="15" customHeight="1" thickBot="1">
      <c r="A24" s="1009"/>
      <c r="B24" s="1011"/>
      <c r="C24" s="1012"/>
      <c r="D24" s="1013"/>
      <c r="E24" s="112" t="s">
        <v>1031</v>
      </c>
      <c r="F24" s="116" t="s">
        <v>1032</v>
      </c>
      <c r="G24" s="1014"/>
      <c r="H24" s="114" t="s">
        <v>1034</v>
      </c>
    </row>
    <row r="25" spans="1:8" ht="28.5" customHeight="1" thickBot="1">
      <c r="A25" s="1009"/>
      <c r="B25" s="1010" t="s">
        <v>916</v>
      </c>
      <c r="C25" s="1012" t="s">
        <v>1035</v>
      </c>
      <c r="D25" s="1013" t="s">
        <v>1036</v>
      </c>
      <c r="E25" s="112" t="s">
        <v>1037</v>
      </c>
      <c r="F25" s="61" t="s">
        <v>59</v>
      </c>
      <c r="G25" s="1014" t="s">
        <v>1040</v>
      </c>
      <c r="H25" s="113" t="s">
        <v>59</v>
      </c>
    </row>
    <row r="26" spans="1:8" ht="13.5" customHeight="1" thickBot="1">
      <c r="A26" s="1017"/>
      <c r="B26" s="1018"/>
      <c r="C26" s="1019"/>
      <c r="D26" s="1020"/>
      <c r="E26" s="118" t="s">
        <v>1038</v>
      </c>
      <c r="F26" s="117" t="s">
        <v>1039</v>
      </c>
      <c r="G26" s="1021"/>
      <c r="H26" s="115" t="s">
        <v>1041</v>
      </c>
    </row>
    <row r="27" spans="1:8" ht="15.75" thickTop="1"/>
  </sheetData>
  <mergeCells count="47">
    <mergeCell ref="G23:G24"/>
    <mergeCell ref="B25:B26"/>
    <mergeCell ref="C25:C26"/>
    <mergeCell ref="D25:D26"/>
    <mergeCell ref="G25:G26"/>
    <mergeCell ref="A21:A22"/>
    <mergeCell ref="B21:B22"/>
    <mergeCell ref="C21:C22"/>
    <mergeCell ref="D21:D22"/>
    <mergeCell ref="A23:A26"/>
    <mergeCell ref="B23:B24"/>
    <mergeCell ref="C23:C24"/>
    <mergeCell ref="D23:D24"/>
    <mergeCell ref="A18:H18"/>
    <mergeCell ref="A19:A20"/>
    <mergeCell ref="B19:B20"/>
    <mergeCell ref="C19:C20"/>
    <mergeCell ref="D19:D20"/>
    <mergeCell ref="G19:G20"/>
    <mergeCell ref="A16:A17"/>
    <mergeCell ref="B16:B17"/>
    <mergeCell ref="C16:C17"/>
    <mergeCell ref="D16:D17"/>
    <mergeCell ref="G16:G17"/>
    <mergeCell ref="A6:H6"/>
    <mergeCell ref="A13:H13"/>
    <mergeCell ref="C11:C12"/>
    <mergeCell ref="D11:D12"/>
    <mergeCell ref="G11:G12"/>
    <mergeCell ref="B14:B15"/>
    <mergeCell ref="C14:C15"/>
    <mergeCell ref="D14:D15"/>
    <mergeCell ref="G14:G15"/>
    <mergeCell ref="A7:A8"/>
    <mergeCell ref="C7:C8"/>
    <mergeCell ref="D7:D8"/>
    <mergeCell ref="A9:A12"/>
    <mergeCell ref="C9:C10"/>
    <mergeCell ref="D9:D10"/>
    <mergeCell ref="G9:G10"/>
    <mergeCell ref="A1:H1"/>
    <mergeCell ref="B4:B5"/>
    <mergeCell ref="C4:C5"/>
    <mergeCell ref="D4:D5"/>
    <mergeCell ref="E4:E5"/>
    <mergeCell ref="H4:H5"/>
    <mergeCell ref="A4:A5"/>
  </mergeCells>
  <pageMargins left="0.67" right="0.7" top="0.75" bottom="0.75" header="0.3" footer="0.3"/>
  <pageSetup orientation="landscape" r:id="rId1"/>
</worksheet>
</file>

<file path=xl/worksheets/sheet26.xml><?xml version="1.0" encoding="utf-8"?>
<worksheet xmlns="http://schemas.openxmlformats.org/spreadsheetml/2006/main" xmlns:r="http://schemas.openxmlformats.org/officeDocument/2006/relationships">
  <sheetPr codeName="Sheet25"/>
  <dimension ref="A1:G13"/>
  <sheetViews>
    <sheetView workbookViewId="0">
      <selection activeCell="D14" sqref="D14"/>
    </sheetView>
  </sheetViews>
  <sheetFormatPr defaultRowHeight="15"/>
  <cols>
    <col min="1" max="1" width="12.140625" customWidth="1"/>
    <col min="2" max="2" width="20.5703125" customWidth="1"/>
    <col min="3" max="3" width="12.140625" customWidth="1"/>
    <col min="4" max="4" width="15.7109375" customWidth="1"/>
    <col min="5" max="5" width="10.5703125" customWidth="1"/>
    <col min="6" max="6" width="12.7109375" customWidth="1"/>
    <col min="7" max="7" width="14.140625" customWidth="1"/>
  </cols>
  <sheetData>
    <row r="1" spans="1:7" ht="15.75" customHeight="1" thickTop="1">
      <c r="A1" s="462" t="s">
        <v>1049</v>
      </c>
      <c r="B1" s="463"/>
      <c r="C1" s="463"/>
      <c r="D1" s="463"/>
      <c r="E1" s="463"/>
      <c r="F1" s="463"/>
      <c r="G1" s="464"/>
    </row>
    <row r="2" spans="1:7" ht="30" customHeight="1">
      <c r="A2" s="1022" t="s">
        <v>1050</v>
      </c>
      <c r="B2" s="1023"/>
      <c r="C2" s="1023"/>
      <c r="D2" s="1023"/>
      <c r="E2" s="1023"/>
      <c r="F2" s="1023"/>
      <c r="G2" s="1024"/>
    </row>
    <row r="3" spans="1:7" ht="15.75" customHeight="1" thickBot="1">
      <c r="A3" s="465" t="s">
        <v>221</v>
      </c>
      <c r="B3" s="466"/>
      <c r="C3" s="466"/>
      <c r="D3" s="466"/>
      <c r="E3" s="466"/>
      <c r="F3" s="466"/>
      <c r="G3" s="467"/>
    </row>
    <row r="4" spans="1:7" ht="64.5" customHeight="1" thickTop="1">
      <c r="A4" s="1026" t="s">
        <v>900</v>
      </c>
      <c r="B4" s="1028" t="s">
        <v>1051</v>
      </c>
      <c r="C4" s="546" t="s">
        <v>1052</v>
      </c>
      <c r="D4" s="546" t="s">
        <v>903</v>
      </c>
      <c r="E4" s="124" t="s">
        <v>1053</v>
      </c>
      <c r="F4" s="124" t="s">
        <v>906</v>
      </c>
      <c r="G4" s="546" t="s">
        <v>1054</v>
      </c>
    </row>
    <row r="5" spans="1:7" ht="18.75" customHeight="1" thickBot="1">
      <c r="A5" s="1027"/>
      <c r="B5" s="1029"/>
      <c r="C5" s="547"/>
      <c r="D5" s="547"/>
      <c r="E5" s="51" t="s">
        <v>905</v>
      </c>
      <c r="F5" s="51" t="s">
        <v>905</v>
      </c>
      <c r="G5" s="547"/>
    </row>
    <row r="6" spans="1:7" ht="24.75" customHeight="1" thickTop="1">
      <c r="A6" s="1030" t="s">
        <v>1055</v>
      </c>
      <c r="B6" s="1025" t="s">
        <v>1056</v>
      </c>
      <c r="C6" s="1025" t="s">
        <v>1057</v>
      </c>
      <c r="D6" s="1025" t="s">
        <v>1058</v>
      </c>
      <c r="E6" s="105" t="s">
        <v>59</v>
      </c>
      <c r="F6" s="1031" t="s">
        <v>1060</v>
      </c>
      <c r="G6" s="53" t="s">
        <v>59</v>
      </c>
    </row>
    <row r="7" spans="1:7" ht="23.25" thickBot="1">
      <c r="A7" s="985"/>
      <c r="B7" s="987"/>
      <c r="C7" s="987"/>
      <c r="D7" s="987"/>
      <c r="E7" s="106" t="s">
        <v>1059</v>
      </c>
      <c r="F7" s="982"/>
      <c r="G7" s="54" t="s">
        <v>1061</v>
      </c>
    </row>
    <row r="8" spans="1:7" ht="24.75" customHeight="1">
      <c r="A8" s="984" t="s">
        <v>1062</v>
      </c>
      <c r="B8" s="970" t="s">
        <v>1056</v>
      </c>
      <c r="C8" s="970" t="s">
        <v>1063</v>
      </c>
      <c r="D8" s="970" t="s">
        <v>1064</v>
      </c>
      <c r="E8" s="105" t="s">
        <v>59</v>
      </c>
      <c r="F8" s="974" t="s">
        <v>1066</v>
      </c>
      <c r="G8" s="53" t="s">
        <v>59</v>
      </c>
    </row>
    <row r="9" spans="1:7" ht="23.25" thickBot="1">
      <c r="A9" s="985"/>
      <c r="B9" s="987"/>
      <c r="C9" s="987"/>
      <c r="D9" s="987"/>
      <c r="E9" s="106" t="s">
        <v>1065</v>
      </c>
      <c r="F9" s="982"/>
      <c r="G9" s="54" t="s">
        <v>1067</v>
      </c>
    </row>
    <row r="10" spans="1:7">
      <c r="A10" s="984" t="s">
        <v>1068</v>
      </c>
      <c r="B10" s="970" t="s">
        <v>1056</v>
      </c>
      <c r="C10" s="970" t="s">
        <v>1069</v>
      </c>
      <c r="D10" s="970" t="s">
        <v>1070</v>
      </c>
      <c r="E10" s="105" t="s">
        <v>59</v>
      </c>
      <c r="F10" s="974" t="s">
        <v>1072</v>
      </c>
      <c r="G10" s="53" t="s">
        <v>59</v>
      </c>
    </row>
    <row r="11" spans="1:7" ht="22.5">
      <c r="A11" s="997"/>
      <c r="B11" s="1032"/>
      <c r="C11" s="1032"/>
      <c r="D11" s="1032"/>
      <c r="E11" s="105" t="s">
        <v>1071</v>
      </c>
      <c r="F11" s="1035"/>
      <c r="G11" s="53" t="s">
        <v>1073</v>
      </c>
    </row>
    <row r="12" spans="1:7" ht="15.75" thickBot="1">
      <c r="A12" s="1034"/>
      <c r="B12" s="1033"/>
      <c r="C12" s="1033"/>
      <c r="D12" s="1033"/>
      <c r="E12" s="125"/>
      <c r="F12" s="1036"/>
      <c r="G12" s="126"/>
    </row>
    <row r="13" spans="1:7" ht="15.75" thickTop="1"/>
  </sheetData>
  <mergeCells count="23">
    <mergeCell ref="C10:C12"/>
    <mergeCell ref="A10:A12"/>
    <mergeCell ref="B10:B12"/>
    <mergeCell ref="D10:D12"/>
    <mergeCell ref="F10:F12"/>
    <mergeCell ref="C8:C9"/>
    <mergeCell ref="A6:A7"/>
    <mergeCell ref="B6:B7"/>
    <mergeCell ref="D6:D7"/>
    <mergeCell ref="F6:F7"/>
    <mergeCell ref="A8:A9"/>
    <mergeCell ref="B8:B9"/>
    <mergeCell ref="D8:D9"/>
    <mergeCell ref="F8:F9"/>
    <mergeCell ref="G4:G5"/>
    <mergeCell ref="A1:G1"/>
    <mergeCell ref="A2:G2"/>
    <mergeCell ref="A3:G3"/>
    <mergeCell ref="C6:C7"/>
    <mergeCell ref="A4:A5"/>
    <mergeCell ref="C4:C5"/>
    <mergeCell ref="D4:D5"/>
    <mergeCell ref="B4:B5"/>
  </mergeCells>
  <pageMargins left="0.43" right="0.33" top="0.75" bottom="0.75" header="0.3" footer="0.3"/>
  <pageSetup orientation="portrait" r:id="rId1"/>
</worksheet>
</file>

<file path=xl/worksheets/sheet27.xml><?xml version="1.0" encoding="utf-8"?>
<worksheet xmlns="http://schemas.openxmlformats.org/spreadsheetml/2006/main" xmlns:r="http://schemas.openxmlformats.org/officeDocument/2006/relationships">
  <sheetPr codeName="Sheet26"/>
  <dimension ref="A1:B29"/>
  <sheetViews>
    <sheetView topLeftCell="A3" workbookViewId="0">
      <selection activeCell="A34" sqref="A34"/>
    </sheetView>
  </sheetViews>
  <sheetFormatPr defaultRowHeight="15"/>
  <cols>
    <col min="1" max="1" width="60.140625" customWidth="1"/>
    <col min="2" max="2" width="61.42578125" customWidth="1"/>
  </cols>
  <sheetData>
    <row r="1" spans="1:2" ht="17.25" customHeight="1" thickTop="1">
      <c r="A1" s="844" t="s">
        <v>1074</v>
      </c>
      <c r="B1" s="845"/>
    </row>
    <row r="2" spans="1:2" ht="31.5" customHeight="1" thickBot="1">
      <c r="A2" s="869" t="s">
        <v>1075</v>
      </c>
      <c r="B2" s="870"/>
    </row>
    <row r="3" spans="1:2" ht="16.5" customHeight="1" thickBot="1">
      <c r="A3" s="1037" t="s">
        <v>1076</v>
      </c>
      <c r="B3" s="1038"/>
    </row>
    <row r="4" spans="1:2" ht="23.25" customHeight="1">
      <c r="A4" s="1045" t="s">
        <v>1077</v>
      </c>
      <c r="B4" s="1046"/>
    </row>
    <row r="5" spans="1:2" ht="20.25" customHeight="1">
      <c r="A5" s="1045"/>
      <c r="B5" s="1046"/>
    </row>
    <row r="6" spans="1:2" ht="20.25" customHeight="1">
      <c r="A6" s="1045" t="s">
        <v>1078</v>
      </c>
      <c r="B6" s="1046"/>
    </row>
    <row r="7" spans="1:2">
      <c r="A7" s="1045"/>
      <c r="B7" s="1046"/>
    </row>
    <row r="8" spans="1:2" ht="19.5" customHeight="1" thickBot="1">
      <c r="A8" s="127" t="s">
        <v>1079</v>
      </c>
      <c r="B8" s="128"/>
    </row>
    <row r="9" spans="1:2" ht="15" customHeight="1" thickBot="1">
      <c r="A9" s="76" t="s">
        <v>1080</v>
      </c>
      <c r="B9" s="77"/>
    </row>
    <row r="10" spans="1:2" ht="19.5" customHeight="1">
      <c r="A10" s="1047" t="s">
        <v>1077</v>
      </c>
      <c r="B10" s="1048"/>
    </row>
    <row r="11" spans="1:2">
      <c r="A11" s="1045"/>
      <c r="B11" s="1046"/>
    </row>
    <row r="12" spans="1:2" ht="21.75" customHeight="1">
      <c r="A12" s="1045" t="s">
        <v>1078</v>
      </c>
      <c r="B12" s="1046"/>
    </row>
    <row r="13" spans="1:2">
      <c r="A13" s="1045"/>
      <c r="B13" s="1046"/>
    </row>
    <row r="14" spans="1:2" ht="17.25" customHeight="1" thickBot="1">
      <c r="A14" s="127" t="s">
        <v>1079</v>
      </c>
      <c r="B14" s="128"/>
    </row>
    <row r="15" spans="1:2" ht="16.5" customHeight="1" thickBot="1">
      <c r="A15" s="76" t="s">
        <v>1081</v>
      </c>
      <c r="B15" s="77"/>
    </row>
    <row r="16" spans="1:2" ht="19.5" customHeight="1">
      <c r="A16" s="1047" t="s">
        <v>1077</v>
      </c>
      <c r="B16" s="1048"/>
    </row>
    <row r="17" spans="1:2">
      <c r="A17" s="1045"/>
      <c r="B17" s="1046"/>
    </row>
    <row r="18" spans="1:2" ht="16.5" customHeight="1">
      <c r="A18" s="1045" t="s">
        <v>1078</v>
      </c>
      <c r="B18" s="1046"/>
    </row>
    <row r="19" spans="1:2">
      <c r="A19" s="1045"/>
      <c r="B19" s="1046"/>
    </row>
    <row r="20" spans="1:2" ht="15" customHeight="1" thickBot="1">
      <c r="A20" s="129" t="s">
        <v>1079</v>
      </c>
      <c r="B20" s="130"/>
    </row>
    <row r="21" spans="1:2" ht="16.5" thickTop="1" thickBot="1"/>
    <row r="22" spans="1:2" ht="14.25" customHeight="1" thickTop="1">
      <c r="A22" s="1039" t="s">
        <v>1082</v>
      </c>
      <c r="B22" s="1040"/>
    </row>
    <row r="23" spans="1:2" ht="15" customHeight="1">
      <c r="A23" s="1041" t="s">
        <v>15</v>
      </c>
      <c r="B23" s="1042"/>
    </row>
    <row r="24" spans="1:2" ht="21.75" customHeight="1" thickBot="1">
      <c r="A24" s="1043" t="s">
        <v>1083</v>
      </c>
      <c r="B24" s="1044"/>
    </row>
    <row r="25" spans="1:2" ht="15.75" thickBot="1">
      <c r="A25" s="131" t="s">
        <v>987</v>
      </c>
      <c r="B25" s="132" t="s">
        <v>1084</v>
      </c>
    </row>
    <row r="26" spans="1:2" ht="15.75" thickBot="1">
      <c r="A26" s="136" t="s">
        <v>1085</v>
      </c>
      <c r="B26" s="133"/>
    </row>
    <row r="27" spans="1:2" ht="15.75" thickBot="1">
      <c r="A27" s="136" t="s">
        <v>1085</v>
      </c>
      <c r="B27" s="134"/>
    </row>
    <row r="28" spans="1:2" ht="15.75" thickBot="1">
      <c r="A28" s="137" t="s">
        <v>1085</v>
      </c>
      <c r="B28" s="135"/>
    </row>
    <row r="29" spans="1:2" ht="15.75" thickTop="1"/>
  </sheetData>
  <mergeCells count="18">
    <mergeCell ref="A24:B24"/>
    <mergeCell ref="A4:A5"/>
    <mergeCell ref="A6:A7"/>
    <mergeCell ref="B4:B5"/>
    <mergeCell ref="B6:B7"/>
    <mergeCell ref="A10:A11"/>
    <mergeCell ref="A12:A13"/>
    <mergeCell ref="B10:B11"/>
    <mergeCell ref="B12:B13"/>
    <mergeCell ref="A16:A17"/>
    <mergeCell ref="B16:B17"/>
    <mergeCell ref="A18:A19"/>
    <mergeCell ref="B18:B19"/>
    <mergeCell ref="A1:B1"/>
    <mergeCell ref="A2:B2"/>
    <mergeCell ref="A3:B3"/>
    <mergeCell ref="A22:B22"/>
    <mergeCell ref="A23:B23"/>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sheetPr codeName="Sheet3"/>
  <dimension ref="A1:S25"/>
  <sheetViews>
    <sheetView workbookViewId="0">
      <selection activeCell="F8" sqref="F8:F9"/>
    </sheetView>
  </sheetViews>
  <sheetFormatPr defaultRowHeight="15"/>
  <cols>
    <col min="1" max="16" width="8.28515625" customWidth="1"/>
  </cols>
  <sheetData>
    <row r="1" spans="1:19" ht="15.75" thickTop="1">
      <c r="A1" s="462" t="s">
        <v>51</v>
      </c>
      <c r="B1" s="463"/>
      <c r="C1" s="463"/>
      <c r="D1" s="463"/>
      <c r="E1" s="463"/>
      <c r="F1" s="463"/>
      <c r="G1" s="463"/>
      <c r="H1" s="463"/>
      <c r="I1" s="463"/>
      <c r="J1" s="463"/>
      <c r="K1" s="463"/>
      <c r="L1" s="463"/>
      <c r="M1" s="463"/>
      <c r="N1" s="463"/>
      <c r="O1" s="463"/>
      <c r="P1" s="464"/>
      <c r="Q1" t="s">
        <v>1097</v>
      </c>
      <c r="S1" t="s">
        <v>1101</v>
      </c>
    </row>
    <row r="2" spans="1:19" ht="15.75" thickBot="1">
      <c r="A2" s="465" t="s">
        <v>52</v>
      </c>
      <c r="B2" s="466"/>
      <c r="C2" s="466"/>
      <c r="D2" s="466"/>
      <c r="E2" s="466"/>
      <c r="F2" s="466"/>
      <c r="G2" s="466"/>
      <c r="H2" s="466"/>
      <c r="I2" s="466"/>
      <c r="J2" s="466"/>
      <c r="K2" s="466"/>
      <c r="L2" s="466"/>
      <c r="M2" s="466"/>
      <c r="N2" s="466"/>
      <c r="O2" s="466"/>
      <c r="P2" s="467"/>
      <c r="S2" t="s">
        <v>1102</v>
      </c>
    </row>
    <row r="3" spans="1:19" ht="16.5" thickTop="1" thickBot="1">
      <c r="A3" s="468" t="s">
        <v>53</v>
      </c>
      <c r="B3" s="469"/>
      <c r="C3" s="469"/>
      <c r="D3" s="469"/>
      <c r="E3" s="469"/>
      <c r="F3" s="469"/>
      <c r="G3" s="469"/>
      <c r="H3" s="469"/>
      <c r="I3" s="469"/>
      <c r="J3" s="469"/>
      <c r="K3" s="469"/>
      <c r="L3" s="469"/>
      <c r="M3" s="469"/>
      <c r="N3" s="469"/>
      <c r="O3" s="469"/>
      <c r="P3" s="470"/>
    </row>
    <row r="4" spans="1:19" ht="25.5" customHeight="1" thickTop="1" thickBot="1">
      <c r="A4" s="471" t="s">
        <v>54</v>
      </c>
      <c r="B4" s="472"/>
      <c r="C4" s="473"/>
      <c r="D4" s="471" t="s">
        <v>55</v>
      </c>
      <c r="E4" s="473"/>
      <c r="F4" s="474" t="s">
        <v>56</v>
      </c>
      <c r="G4" s="475"/>
      <c r="H4" s="476"/>
      <c r="I4" s="477" t="s">
        <v>54</v>
      </c>
      <c r="J4" s="478"/>
      <c r="K4" s="479"/>
      <c r="L4" s="477" t="s">
        <v>55</v>
      </c>
      <c r="M4" s="479"/>
      <c r="N4" s="477" t="s">
        <v>57</v>
      </c>
      <c r="O4" s="478"/>
      <c r="P4" s="479"/>
    </row>
    <row r="5" spans="1:19" ht="39" customHeight="1">
      <c r="A5" s="480" t="s">
        <v>58</v>
      </c>
      <c r="B5" s="481"/>
      <c r="C5" s="482"/>
      <c r="D5" s="480" t="s">
        <v>58</v>
      </c>
      <c r="E5" s="482"/>
      <c r="F5" s="486" t="s">
        <v>58</v>
      </c>
      <c r="G5" s="487"/>
      <c r="H5" s="488"/>
      <c r="I5" s="492" t="s">
        <v>60</v>
      </c>
      <c r="J5" s="493"/>
      <c r="K5" s="494"/>
      <c r="L5" s="492" t="s">
        <v>60</v>
      </c>
      <c r="M5" s="494"/>
      <c r="N5" s="492" t="s">
        <v>60</v>
      </c>
      <c r="O5" s="493"/>
      <c r="P5" s="494"/>
    </row>
    <row r="6" spans="1:19" ht="15.75" thickBot="1">
      <c r="A6" s="483"/>
      <c r="B6" s="484"/>
      <c r="C6" s="485"/>
      <c r="D6" s="483"/>
      <c r="E6" s="485"/>
      <c r="F6" s="489" t="s">
        <v>59</v>
      </c>
      <c r="G6" s="490"/>
      <c r="H6" s="491"/>
      <c r="I6" s="495" t="s">
        <v>61</v>
      </c>
      <c r="J6" s="496"/>
      <c r="K6" s="497"/>
      <c r="L6" s="495" t="s">
        <v>61</v>
      </c>
      <c r="M6" s="497"/>
      <c r="N6" s="495" t="s">
        <v>61</v>
      </c>
      <c r="O6" s="496"/>
      <c r="P6" s="497"/>
    </row>
    <row r="7" spans="1:19" ht="36" thickBot="1">
      <c r="A7" s="3" t="s">
        <v>62</v>
      </c>
      <c r="B7" s="4" t="s">
        <v>63</v>
      </c>
      <c r="C7" s="4" t="s">
        <v>64</v>
      </c>
      <c r="D7" s="4" t="s">
        <v>62</v>
      </c>
      <c r="E7" s="4" t="s">
        <v>64</v>
      </c>
      <c r="F7" s="167" t="s">
        <v>62</v>
      </c>
      <c r="G7" s="167" t="s">
        <v>63</v>
      </c>
      <c r="H7" s="167" t="s">
        <v>64</v>
      </c>
      <c r="I7" s="5" t="s">
        <v>62</v>
      </c>
      <c r="J7" s="6" t="s">
        <v>63</v>
      </c>
      <c r="K7" s="6" t="s">
        <v>64</v>
      </c>
      <c r="L7" s="6" t="s">
        <v>62</v>
      </c>
      <c r="M7" s="6" t="s">
        <v>64</v>
      </c>
      <c r="N7" s="6" t="s">
        <v>62</v>
      </c>
      <c r="O7" s="6" t="s">
        <v>63</v>
      </c>
      <c r="P7" s="6" t="s">
        <v>64</v>
      </c>
    </row>
    <row r="8" spans="1:19">
      <c r="A8" s="500">
        <v>200</v>
      </c>
      <c r="B8" s="500">
        <v>35</v>
      </c>
      <c r="C8" s="500">
        <v>20</v>
      </c>
      <c r="D8" s="500">
        <v>100</v>
      </c>
      <c r="E8" s="500">
        <v>45</v>
      </c>
      <c r="F8" s="498">
        <f>A8+D8</f>
        <v>300</v>
      </c>
      <c r="G8" s="498">
        <f>B8</f>
        <v>35</v>
      </c>
      <c r="H8" s="498">
        <f>C8+E8</f>
        <v>65</v>
      </c>
      <c r="I8" s="500"/>
      <c r="J8" s="500"/>
      <c r="K8" s="500"/>
      <c r="L8" s="500"/>
      <c r="M8" s="500"/>
      <c r="N8" s="500"/>
      <c r="O8" s="500"/>
      <c r="P8" s="500"/>
    </row>
    <row r="9" spans="1:19" ht="15.75" thickBot="1">
      <c r="A9" s="501"/>
      <c r="B9" s="501"/>
      <c r="C9" s="501"/>
      <c r="D9" s="501"/>
      <c r="E9" s="501"/>
      <c r="F9" s="499"/>
      <c r="G9" s="499"/>
      <c r="H9" s="499"/>
      <c r="I9" s="501"/>
      <c r="J9" s="501"/>
      <c r="K9" s="501"/>
      <c r="L9" s="501"/>
      <c r="M9" s="501"/>
      <c r="N9" s="501"/>
      <c r="O9" s="501"/>
      <c r="P9" s="501"/>
    </row>
    <row r="10" spans="1:19">
      <c r="A10" s="507" t="s">
        <v>65</v>
      </c>
      <c r="B10" s="508"/>
      <c r="C10" s="508"/>
      <c r="D10" s="508"/>
      <c r="E10" s="508"/>
      <c r="F10" s="508"/>
      <c r="G10" s="508"/>
      <c r="H10" s="508"/>
      <c r="I10" s="508"/>
      <c r="J10" s="508"/>
      <c r="K10" s="508"/>
      <c r="L10" s="508"/>
      <c r="M10" s="508"/>
      <c r="N10" s="508"/>
      <c r="O10" s="508"/>
      <c r="P10" s="509"/>
    </row>
    <row r="11" spans="1:19" ht="15.75" thickBot="1">
      <c r="A11" s="510" t="s">
        <v>66</v>
      </c>
      <c r="B11" s="511"/>
      <c r="C11" s="511"/>
      <c r="D11" s="511"/>
      <c r="E11" s="511"/>
      <c r="F11" s="511"/>
      <c r="G11" s="511"/>
      <c r="H11" s="511"/>
      <c r="I11" s="511"/>
      <c r="J11" s="511"/>
      <c r="K11" s="511"/>
      <c r="L11" s="511"/>
      <c r="M11" s="511"/>
      <c r="N11" s="511"/>
      <c r="O11" s="511"/>
      <c r="P11" s="512"/>
    </row>
    <row r="12" spans="1:19" ht="64.5" customHeight="1" thickBot="1">
      <c r="A12" s="504"/>
      <c r="B12" s="505"/>
      <c r="C12" s="505"/>
      <c r="D12" s="505"/>
      <c r="E12" s="505"/>
      <c r="F12" s="505"/>
      <c r="G12" s="505"/>
      <c r="H12" s="505"/>
      <c r="I12" s="505"/>
      <c r="J12" s="505"/>
      <c r="K12" s="505"/>
      <c r="L12" s="505"/>
      <c r="M12" s="505"/>
      <c r="N12" s="505"/>
      <c r="O12" s="505"/>
      <c r="P12" s="506"/>
    </row>
    <row r="13" spans="1:19" ht="15.75" thickBot="1"/>
    <row r="14" spans="1:19" ht="18.75" customHeight="1" thickTop="1">
      <c r="A14" s="517" t="s">
        <v>67</v>
      </c>
      <c r="B14" s="518"/>
      <c r="C14" s="518"/>
      <c r="D14" s="518"/>
      <c r="E14" s="518"/>
      <c r="F14" s="518"/>
      <c r="G14" s="518"/>
      <c r="H14" s="518"/>
      <c r="I14" s="518"/>
      <c r="J14" s="518"/>
      <c r="K14" s="518"/>
      <c r="L14" s="518"/>
      <c r="M14" s="518"/>
      <c r="N14" s="518"/>
      <c r="O14" s="518"/>
      <c r="P14" s="519"/>
    </row>
    <row r="15" spans="1:19" ht="16.5" customHeight="1">
      <c r="A15" s="523" t="s">
        <v>68</v>
      </c>
      <c r="B15" s="524"/>
      <c r="C15" s="524"/>
      <c r="D15" s="524"/>
      <c r="E15" s="524"/>
      <c r="F15" s="524"/>
      <c r="G15" s="524"/>
      <c r="H15" s="524"/>
      <c r="I15" s="524"/>
      <c r="J15" s="524"/>
      <c r="K15" s="524"/>
      <c r="L15" s="524"/>
      <c r="M15" s="524"/>
      <c r="N15" s="524"/>
      <c r="O15" s="524"/>
      <c r="P15" s="525"/>
    </row>
    <row r="16" spans="1:19" ht="33.75" customHeight="1">
      <c r="A16" s="502" t="s">
        <v>69</v>
      </c>
      <c r="B16" s="503"/>
      <c r="C16" s="503"/>
      <c r="D16" s="503"/>
      <c r="E16" s="503"/>
      <c r="F16" s="503"/>
      <c r="G16" s="503"/>
      <c r="H16" s="503"/>
      <c r="I16" s="520"/>
      <c r="J16" s="520"/>
      <c r="K16" s="520"/>
      <c r="L16" s="520"/>
      <c r="M16" s="520"/>
      <c r="N16" s="520"/>
      <c r="O16" s="520"/>
      <c r="P16" s="521"/>
      <c r="R16" t="s">
        <v>556</v>
      </c>
      <c r="S16" t="s">
        <v>557</v>
      </c>
    </row>
    <row r="17" spans="1:16" ht="15.75" customHeight="1">
      <c r="A17" s="502" t="s">
        <v>70</v>
      </c>
      <c r="B17" s="503"/>
      <c r="C17" s="503"/>
      <c r="D17" s="503"/>
      <c r="E17" s="503"/>
      <c r="F17" s="503"/>
      <c r="G17" s="503"/>
      <c r="H17" s="503"/>
      <c r="I17" s="503"/>
      <c r="J17" s="503"/>
      <c r="K17" s="503"/>
      <c r="L17" s="503"/>
      <c r="M17" s="503"/>
      <c r="N17" s="503"/>
      <c r="O17" s="503"/>
      <c r="P17" s="522"/>
    </row>
    <row r="18" spans="1:16" ht="15.75" customHeight="1">
      <c r="A18" s="526" t="s">
        <v>71</v>
      </c>
      <c r="B18" s="527"/>
      <c r="C18" s="527"/>
      <c r="D18" s="527"/>
      <c r="E18" s="527"/>
      <c r="F18" s="527"/>
      <c r="G18" s="527"/>
      <c r="H18" s="527"/>
      <c r="I18" s="527"/>
      <c r="J18" s="527"/>
      <c r="K18" s="527"/>
      <c r="L18" s="527"/>
      <c r="M18" s="527"/>
      <c r="N18" s="527"/>
      <c r="O18" s="527"/>
      <c r="P18" s="528"/>
    </row>
    <row r="19" spans="1:16" ht="21" customHeight="1">
      <c r="A19" s="502" t="s">
        <v>72</v>
      </c>
      <c r="B19" s="503"/>
      <c r="C19" s="503"/>
      <c r="D19" s="503"/>
      <c r="E19" s="503"/>
      <c r="F19" s="503"/>
      <c r="G19" s="503"/>
      <c r="H19" s="503"/>
      <c r="I19" s="520">
        <v>100</v>
      </c>
      <c r="J19" s="520"/>
      <c r="K19" s="520"/>
      <c r="L19" s="520"/>
      <c r="M19" s="520"/>
      <c r="N19" s="520"/>
      <c r="O19" s="520"/>
      <c r="P19" s="521"/>
    </row>
    <row r="20" spans="1:16" ht="16.5" customHeight="1">
      <c r="A20" s="502" t="s">
        <v>73</v>
      </c>
      <c r="B20" s="503"/>
      <c r="C20" s="503"/>
      <c r="D20" s="503"/>
      <c r="E20" s="503"/>
      <c r="F20" s="503"/>
      <c r="G20" s="503"/>
      <c r="H20" s="503"/>
      <c r="I20" s="520">
        <v>50</v>
      </c>
      <c r="J20" s="520"/>
      <c r="K20" s="520"/>
      <c r="L20" s="520"/>
      <c r="M20" s="520"/>
      <c r="N20" s="520"/>
      <c r="O20" s="520"/>
      <c r="P20" s="521"/>
    </row>
    <row r="21" spans="1:16" ht="19.5" customHeight="1">
      <c r="A21" s="526" t="s">
        <v>74</v>
      </c>
      <c r="B21" s="527"/>
      <c r="C21" s="527"/>
      <c r="D21" s="527"/>
      <c r="E21" s="527"/>
      <c r="F21" s="527"/>
      <c r="G21" s="527"/>
      <c r="H21" s="527"/>
      <c r="I21" s="527"/>
      <c r="J21" s="527"/>
      <c r="K21" s="527"/>
      <c r="L21" s="527"/>
      <c r="M21" s="527"/>
      <c r="N21" s="527"/>
      <c r="O21" s="527"/>
      <c r="P21" s="528"/>
    </row>
    <row r="22" spans="1:16" ht="17.25" customHeight="1">
      <c r="A22" s="502" t="s">
        <v>75</v>
      </c>
      <c r="B22" s="503"/>
      <c r="C22" s="503"/>
      <c r="D22" s="503"/>
      <c r="E22" s="503"/>
      <c r="F22" s="503"/>
      <c r="G22" s="503"/>
      <c r="H22" s="503"/>
      <c r="I22" s="513">
        <f>(I19/A8)</f>
        <v>0.5</v>
      </c>
      <c r="J22" s="513"/>
      <c r="K22" s="513"/>
      <c r="L22" s="513"/>
      <c r="M22" s="513"/>
      <c r="N22" s="513"/>
      <c r="O22" s="513"/>
      <c r="P22" s="514"/>
    </row>
    <row r="23" spans="1:16" ht="17.25" customHeight="1">
      <c r="A23" s="502" t="s">
        <v>76</v>
      </c>
      <c r="B23" s="503"/>
      <c r="C23" s="503"/>
      <c r="D23" s="503"/>
      <c r="E23" s="503"/>
      <c r="F23" s="503"/>
      <c r="G23" s="503"/>
      <c r="H23" s="503"/>
      <c r="I23" s="513">
        <f>(I20/D8)</f>
        <v>0.5</v>
      </c>
      <c r="J23" s="513"/>
      <c r="K23" s="513"/>
      <c r="L23" s="513"/>
      <c r="M23" s="513"/>
      <c r="N23" s="513"/>
      <c r="O23" s="513"/>
      <c r="P23" s="514"/>
    </row>
    <row r="24" spans="1:16" ht="16.5" customHeight="1" thickBot="1">
      <c r="A24" s="529" t="s">
        <v>77</v>
      </c>
      <c r="B24" s="530"/>
      <c r="C24" s="530"/>
      <c r="D24" s="530"/>
      <c r="E24" s="530"/>
      <c r="F24" s="530"/>
      <c r="G24" s="530"/>
      <c r="H24" s="530"/>
      <c r="I24" s="515">
        <f>(I19+I20)/(A8+D8)</f>
        <v>0.5</v>
      </c>
      <c r="J24" s="515"/>
      <c r="K24" s="515"/>
      <c r="L24" s="515"/>
      <c r="M24" s="515"/>
      <c r="N24" s="515"/>
      <c r="O24" s="515"/>
      <c r="P24" s="516"/>
    </row>
    <row r="25" spans="1:16" ht="15.75" thickTop="1"/>
  </sheetData>
  <mergeCells count="55">
    <mergeCell ref="I23:P23"/>
    <mergeCell ref="I24:P24"/>
    <mergeCell ref="A14:P14"/>
    <mergeCell ref="A16:H16"/>
    <mergeCell ref="I16:P16"/>
    <mergeCell ref="A17:P17"/>
    <mergeCell ref="A15:P15"/>
    <mergeCell ref="A18:P18"/>
    <mergeCell ref="A23:H23"/>
    <mergeCell ref="A24:H24"/>
    <mergeCell ref="A19:H19"/>
    <mergeCell ref="A20:H20"/>
    <mergeCell ref="I19:P19"/>
    <mergeCell ref="I20:P20"/>
    <mergeCell ref="I22:P22"/>
    <mergeCell ref="A21:P21"/>
    <mergeCell ref="A22:H22"/>
    <mergeCell ref="E8:E9"/>
    <mergeCell ref="G8:G9"/>
    <mergeCell ref="N8:N9"/>
    <mergeCell ref="O8:O9"/>
    <mergeCell ref="A12:P12"/>
    <mergeCell ref="D8:D9"/>
    <mergeCell ref="P8:P9"/>
    <mergeCell ref="A10:P10"/>
    <mergeCell ref="A11:P11"/>
    <mergeCell ref="A8:A9"/>
    <mergeCell ref="B8:B9"/>
    <mergeCell ref="C8:C9"/>
    <mergeCell ref="F8:F9"/>
    <mergeCell ref="L5:M5"/>
    <mergeCell ref="L6:M6"/>
    <mergeCell ref="N5:P5"/>
    <mergeCell ref="N6:P6"/>
    <mergeCell ref="H8:H9"/>
    <mergeCell ref="I8:I9"/>
    <mergeCell ref="J8:J9"/>
    <mergeCell ref="K8:K9"/>
    <mergeCell ref="L8:L9"/>
    <mergeCell ref="M8:M9"/>
    <mergeCell ref="A5:C6"/>
    <mergeCell ref="D5:E6"/>
    <mergeCell ref="F5:H5"/>
    <mergeCell ref="F6:H6"/>
    <mergeCell ref="I5:K5"/>
    <mergeCell ref="I6:K6"/>
    <mergeCell ref="A1:P1"/>
    <mergeCell ref="A2:P2"/>
    <mergeCell ref="A3:P3"/>
    <mergeCell ref="A4:C4"/>
    <mergeCell ref="D4:E4"/>
    <mergeCell ref="F4:H4"/>
    <mergeCell ref="I4:K4"/>
    <mergeCell ref="L4:M4"/>
    <mergeCell ref="N4:P4"/>
  </mergeCells>
  <dataValidations count="1">
    <dataValidation type="list" allowBlank="1" showInputMessage="1" showErrorMessage="1" promptTitle="Victim Service Provider" prompt="Please answer Yes or No" sqref="I16:P16">
      <formula1>$R$16:$S$16</formula1>
    </dataValidation>
  </dataValidations>
  <pageMargins left="0.3" right="0.13" top="0.75" bottom="0.75" header="0.3" footer="0.3"/>
  <pageSetup orientation="landscape" r:id="rId1"/>
</worksheet>
</file>

<file path=xl/worksheets/sheet4.xml><?xml version="1.0" encoding="utf-8"?>
<worksheet xmlns="http://schemas.openxmlformats.org/spreadsheetml/2006/main" xmlns:r="http://schemas.openxmlformats.org/officeDocument/2006/relationships">
  <sheetPr codeName="Sheet4"/>
  <dimension ref="A1:L30"/>
  <sheetViews>
    <sheetView workbookViewId="0">
      <selection activeCell="B18" sqref="B18"/>
    </sheetView>
  </sheetViews>
  <sheetFormatPr defaultRowHeight="15"/>
  <cols>
    <col min="1" max="1" width="30.140625" customWidth="1"/>
    <col min="2" max="3" width="11.7109375" style="33" customWidth="1"/>
    <col min="4" max="4" width="12.42578125" style="33" customWidth="1"/>
    <col min="5" max="7" width="11.7109375" style="33" customWidth="1"/>
    <col min="8" max="8" width="0" hidden="1" customWidth="1"/>
    <col min="9" max="9" width="119.28515625" bestFit="1" customWidth="1"/>
  </cols>
  <sheetData>
    <row r="1" spans="1:12" ht="15.75" thickTop="1">
      <c r="A1" s="462" t="s">
        <v>78</v>
      </c>
      <c r="B1" s="463"/>
      <c r="C1" s="463"/>
      <c r="D1" s="463"/>
      <c r="E1" s="463"/>
      <c r="F1" s="463"/>
      <c r="G1" s="464"/>
    </row>
    <row r="2" spans="1:12" ht="15.75" thickBot="1">
      <c r="A2" s="531" t="s">
        <v>79</v>
      </c>
      <c r="B2" s="532"/>
      <c r="C2" s="532"/>
      <c r="D2" s="532"/>
      <c r="E2" s="532"/>
      <c r="F2" s="532"/>
      <c r="G2" s="533"/>
      <c r="I2" s="318" t="s">
        <v>1101</v>
      </c>
    </row>
    <row r="3" spans="1:12" s="33" customFormat="1" ht="40.5" customHeight="1" thickBot="1">
      <c r="A3" s="34" t="s">
        <v>80</v>
      </c>
      <c r="B3" s="139" t="s">
        <v>81</v>
      </c>
      <c r="C3" s="139" t="s">
        <v>82</v>
      </c>
      <c r="D3" s="138" t="s">
        <v>210</v>
      </c>
      <c r="E3" s="139" t="s">
        <v>83</v>
      </c>
      <c r="F3" s="139" t="s">
        <v>84</v>
      </c>
      <c r="G3" s="139" t="s">
        <v>85</v>
      </c>
      <c r="I3" s="166"/>
      <c r="J3" s="165"/>
      <c r="K3" s="165"/>
      <c r="L3" s="165"/>
    </row>
    <row r="4" spans="1:12" ht="27" thickBot="1">
      <c r="A4" s="7" t="s">
        <v>86</v>
      </c>
      <c r="B4" s="8" t="s">
        <v>87</v>
      </c>
      <c r="C4" s="8" t="s">
        <v>88</v>
      </c>
      <c r="D4" s="8" t="s">
        <v>89</v>
      </c>
      <c r="E4" s="8" t="s">
        <v>90</v>
      </c>
      <c r="F4" s="8" t="s">
        <v>91</v>
      </c>
      <c r="G4" s="9" t="s">
        <v>92</v>
      </c>
      <c r="H4" s="281" t="s">
        <v>1174</v>
      </c>
    </row>
    <row r="5" spans="1:12" ht="15" customHeight="1" thickBot="1">
      <c r="A5" s="31" t="s">
        <v>93</v>
      </c>
      <c r="B5" s="140" t="s">
        <v>94</v>
      </c>
      <c r="C5" s="284">
        <f>COUNTIF(LengthOfStay_Total,"&gt;0")</f>
        <v>132</v>
      </c>
      <c r="D5" s="32"/>
      <c r="E5" s="228">
        <f>COUNTIFS([1]Client!$C:$C,"",[1]Client!$BN:$BN,"&gt;0")</f>
        <v>0</v>
      </c>
      <c r="F5" s="32"/>
      <c r="G5" s="227">
        <f>E5/C5</f>
        <v>0</v>
      </c>
      <c r="H5" t="s">
        <v>1172</v>
      </c>
      <c r="I5" t="s">
        <v>1138</v>
      </c>
      <c r="J5" t="s">
        <v>1137</v>
      </c>
    </row>
    <row r="6" spans="1:12" ht="15" customHeight="1" thickBot="1">
      <c r="A6" s="143" t="s">
        <v>95</v>
      </c>
      <c r="B6" s="10" t="s">
        <v>94</v>
      </c>
      <c r="C6" s="13">
        <f>$C$5</f>
        <v>132</v>
      </c>
      <c r="D6" s="12"/>
      <c r="E6" s="228">
        <f>COUNTIFS([1]Client!$E:$E,"",[1]Client!$BN:$BN,"&gt;0")</f>
        <v>0</v>
      </c>
      <c r="F6" s="12"/>
      <c r="G6" s="227">
        <f t="shared" ref="G6:G28" si="0">E6/C6</f>
        <v>0</v>
      </c>
      <c r="H6" t="s">
        <v>1171</v>
      </c>
    </row>
    <row r="7" spans="1:12" ht="15" customHeight="1" thickBot="1">
      <c r="A7" s="143" t="s">
        <v>96</v>
      </c>
      <c r="B7" s="10" t="s">
        <v>94</v>
      </c>
      <c r="C7" s="13">
        <f t="shared" ref="C7:C11" si="1">$C$5</f>
        <v>132</v>
      </c>
      <c r="D7" s="279">
        <f>COUNTIFS([1]Client!$H:$H,"&gt;=8",[1]Client!$H:$H,"&lt;=9")</f>
        <v>12</v>
      </c>
      <c r="E7" s="228">
        <f>COUNTIFS([1]Client!$H:$H,"",[1]Client!$BN:$BN,"&gt;0")</f>
        <v>5</v>
      </c>
      <c r="F7" s="278">
        <f>D7/C7</f>
        <v>9.0909090909090912E-2</v>
      </c>
      <c r="G7" s="227">
        <f t="shared" si="0"/>
        <v>3.787878787878788E-2</v>
      </c>
      <c r="H7" t="s">
        <v>1167</v>
      </c>
      <c r="I7" t="s">
        <v>1181</v>
      </c>
    </row>
    <row r="8" spans="1:12" ht="15" customHeight="1" thickBot="1">
      <c r="A8" s="143" t="s">
        <v>97</v>
      </c>
      <c r="B8" s="10" t="s">
        <v>94</v>
      </c>
      <c r="C8" s="13">
        <f t="shared" si="1"/>
        <v>132</v>
      </c>
      <c r="D8" s="279">
        <f>COUNTIFS([1]Client!$J:$J,"&gt;=8",[1]Client!$J:$J,"&lt;=9")</f>
        <v>3</v>
      </c>
      <c r="E8" s="228">
        <f>COUNTIFS([1]Client!$I:$I,"",[1]Client!$BN:$BN,"&gt;0")</f>
        <v>0</v>
      </c>
      <c r="F8" s="278">
        <f t="shared" ref="F8:F28" si="2">D8/C8</f>
        <v>2.2727272727272728E-2</v>
      </c>
      <c r="G8" s="227">
        <f t="shared" si="0"/>
        <v>0</v>
      </c>
      <c r="H8" t="s">
        <v>1173</v>
      </c>
      <c r="I8" s="277"/>
    </row>
    <row r="9" spans="1:12" ht="15" customHeight="1" thickBot="1">
      <c r="A9" s="143" t="s">
        <v>98</v>
      </c>
      <c r="B9" s="10" t="s">
        <v>94</v>
      </c>
      <c r="C9" s="13">
        <f t="shared" si="1"/>
        <v>132</v>
      </c>
      <c r="D9" s="279">
        <f>COUNTIFS([1]Client!$L:$L,"&gt;=8",[1]Client!$L:$L,"&lt;=9")</f>
        <v>0</v>
      </c>
      <c r="E9" s="228">
        <f>COUNTIFS([1]Client!$L:$L,"",[1]Client!$BN:$BN,"&gt;0")</f>
        <v>146</v>
      </c>
      <c r="F9" s="278">
        <f t="shared" si="2"/>
        <v>0</v>
      </c>
      <c r="G9" s="227">
        <f t="shared" si="0"/>
        <v>1.106060606060606</v>
      </c>
      <c r="H9" t="s">
        <v>1168</v>
      </c>
    </row>
    <row r="10" spans="1:12" ht="15" customHeight="1" thickBot="1">
      <c r="A10" s="143" t="s">
        <v>99</v>
      </c>
      <c r="B10" s="10" t="s">
        <v>94</v>
      </c>
      <c r="C10" s="13">
        <f t="shared" si="1"/>
        <v>132</v>
      </c>
      <c r="D10" s="279">
        <f>COUNTIFS(Ethnicity,"&gt;=8",Ethnicity,"&lt;=9")</f>
        <v>0</v>
      </c>
      <c r="E10" s="228">
        <f>COUNTIFS([1]Client!$K:$K,"",[1]Client!$BN:$BN,"&gt;0")</f>
        <v>0</v>
      </c>
      <c r="F10" s="278">
        <f t="shared" si="2"/>
        <v>0</v>
      </c>
      <c r="G10" s="227">
        <f t="shared" si="0"/>
        <v>0</v>
      </c>
      <c r="H10" t="s">
        <v>1169</v>
      </c>
    </row>
    <row r="11" spans="1:12" ht="15" customHeight="1" thickBot="1">
      <c r="A11" s="143" t="s">
        <v>100</v>
      </c>
      <c r="B11" s="10" t="s">
        <v>94</v>
      </c>
      <c r="C11" s="13">
        <f t="shared" si="1"/>
        <v>132</v>
      </c>
      <c r="D11" s="279">
        <f>COUNTIFS([1]Client!$N:$N,"&gt;=8",[1]Client!$N:$N,"&lt;=9")</f>
        <v>0</v>
      </c>
      <c r="E11" s="228">
        <f>COUNTIFS([1]Client!$N:$N,"",[1]Client!$BN:$BN,"&gt;0")</f>
        <v>0</v>
      </c>
      <c r="F11" s="278">
        <f t="shared" si="2"/>
        <v>0</v>
      </c>
      <c r="G11" s="227">
        <f t="shared" si="0"/>
        <v>0</v>
      </c>
      <c r="H11" t="s">
        <v>1170</v>
      </c>
    </row>
    <row r="12" spans="1:12" ht="15" customHeight="1" thickBot="1">
      <c r="A12" s="143" t="s">
        <v>101</v>
      </c>
      <c r="B12" s="10" t="s">
        <v>102</v>
      </c>
      <c r="C12" s="10">
        <f>COUNTIF(AdultOrChildAtLastEntry,"Adult")</f>
        <v>90</v>
      </c>
      <c r="D12" s="280">
        <f>COUNTIFS(AdultOrChildAtLastEntry,"Adult",InClient,1,LastEpisode,"Y",Veteran,"&gt;=8")</f>
        <v>3</v>
      </c>
      <c r="E12" s="280">
        <f>COUNTIFS(AdultOrChildAtLastEntry,"Adult",InClient,1,LastEpisode,"Y",Veteran,"")</f>
        <v>0</v>
      </c>
      <c r="F12" s="278">
        <f t="shared" si="2"/>
        <v>3.3333333333333333E-2</v>
      </c>
      <c r="G12" s="227">
        <f t="shared" si="0"/>
        <v>0</v>
      </c>
      <c r="I12" s="38"/>
    </row>
    <row r="13" spans="1:12" ht="15" customHeight="1" thickBot="1">
      <c r="A13" s="143" t="s">
        <v>103</v>
      </c>
      <c r="B13" s="10" t="s">
        <v>94</v>
      </c>
      <c r="C13" s="13">
        <f>$C$5</f>
        <v>132</v>
      </c>
      <c r="D13" s="282">
        <f>COUNTIFS(AdultOrChildAtLastEntry,"Adult",InClient,1,LastEpisode,"Y",Disability,"&gt;=8")</f>
        <v>4</v>
      </c>
      <c r="E13" s="280">
        <f>COUNTIFS(AdultOrChildAtLastEntry,"Adult",InClient,1,LastEpisode,"Y",Disability,"")</f>
        <v>21</v>
      </c>
      <c r="F13" s="278">
        <f t="shared" si="2"/>
        <v>3.0303030303030304E-2</v>
      </c>
      <c r="G13" s="227">
        <f t="shared" si="0"/>
        <v>0.15909090909090909</v>
      </c>
    </row>
    <row r="14" spans="1:12" ht="15" customHeight="1" thickBot="1">
      <c r="A14" s="143" t="s">
        <v>104</v>
      </c>
      <c r="B14" s="10" t="s">
        <v>94</v>
      </c>
      <c r="C14" s="13">
        <f>$C$5</f>
        <v>132</v>
      </c>
      <c r="D14" s="282">
        <f>COUNTIFS(AdultOrChildAtLastEntry,"Adult",InClient,1,LastEpisode,"Y",PriorResidence,"&gt;=8")</f>
        <v>61</v>
      </c>
      <c r="E14" s="280">
        <f>COUNTIFS(AdultOrChildAtLastEntry,"Adult",InClient,1,LastEpisode,"Y",PriorResidence,"")</f>
        <v>0</v>
      </c>
      <c r="F14" s="278">
        <f t="shared" si="2"/>
        <v>0.4621212121212121</v>
      </c>
      <c r="G14" s="227">
        <f t="shared" si="0"/>
        <v>0</v>
      </c>
    </row>
    <row r="15" spans="1:12" ht="15" customHeight="1" thickBot="1">
      <c r="A15" s="142" t="s">
        <v>105</v>
      </c>
      <c r="B15" s="163" t="s">
        <v>1166</v>
      </c>
      <c r="C15" s="141">
        <f>COUNTIF(AdultOrUnYouth,"Y")</f>
        <v>90</v>
      </c>
      <c r="D15" s="282">
        <f>COUNTIFS(AdultOrUnYouth,"Y",InClient,1,LastEpisode,"Y",ZipQuality,"&gt;=8")</f>
        <v>0</v>
      </c>
      <c r="E15" s="280">
        <f>COUNTIFS(AdultOrChildAtLastEntry,"Adult",InClient,1,LastEpisode,"Y",ZipCode,"")</f>
        <v>0</v>
      </c>
      <c r="F15" s="278">
        <f t="shared" si="2"/>
        <v>0</v>
      </c>
      <c r="G15" s="227">
        <f t="shared" si="0"/>
        <v>0</v>
      </c>
    </row>
    <row r="16" spans="1:12" ht="15" customHeight="1" thickBot="1">
      <c r="A16" s="35" t="s">
        <v>106</v>
      </c>
      <c r="B16" s="140" t="s">
        <v>94</v>
      </c>
      <c r="C16" s="13">
        <f>$C$5</f>
        <v>132</v>
      </c>
      <c r="D16" s="140">
        <f>COUNTIFS(LastEpisode,"Y",HousingStatusAtEntry,"&gt;=8")</f>
        <v>0</v>
      </c>
      <c r="E16" s="140">
        <f>COUNTIFS(LastEpisode,"Y",HousingStatusAtEntry,"")</f>
        <v>0</v>
      </c>
      <c r="F16" s="278">
        <f t="shared" si="2"/>
        <v>0</v>
      </c>
      <c r="G16" s="227">
        <f t="shared" si="0"/>
        <v>0</v>
      </c>
    </row>
    <row r="17" spans="1:9" ht="15" customHeight="1" thickBot="1">
      <c r="A17" s="143" t="s">
        <v>107</v>
      </c>
      <c r="B17" s="10" t="s">
        <v>94</v>
      </c>
      <c r="C17" s="13">
        <f>$C$5</f>
        <v>132</v>
      </c>
      <c r="D17" s="280">
        <f>COUNTIFS(IncomeLast30,"&gt;=8",IncomeLast30,"&lt;=9",ClientHistoricalEntryExit,"Entry")</f>
        <v>2</v>
      </c>
      <c r="E17" s="10">
        <f>COUNTIFS(IncomeLast30,"",ClientHistoricalEntryExit,"Entry")</f>
        <v>158</v>
      </c>
      <c r="F17" s="278">
        <f t="shared" si="2"/>
        <v>1.5151515151515152E-2</v>
      </c>
      <c r="G17" s="227">
        <f t="shared" si="0"/>
        <v>1.196969696969697</v>
      </c>
      <c r="I17" t="s">
        <v>1193</v>
      </c>
    </row>
    <row r="18" spans="1:9" ht="15" customHeight="1" thickBot="1">
      <c r="A18" s="143" t="s">
        <v>108</v>
      </c>
      <c r="B18" s="10" t="s">
        <v>109</v>
      </c>
      <c r="C18" s="10">
        <f>COUNTIFS(AgencyID_PP,"&lt;&gt;",ProgramExitDate,"&lt;&gt;",LastEpisode,"Y")</f>
        <v>147</v>
      </c>
      <c r="D18" s="280">
        <f>COUNTIFS(IncomeLast30,"&gt;=8",IncomeLast30,"&lt;=9",ClientHistoricalEntryExit,"Exit")</f>
        <v>2</v>
      </c>
      <c r="E18" s="315">
        <f>COUNTIFS(IncomeLast30,"",ClientHistoricalEntryExit,"Exit")</f>
        <v>114</v>
      </c>
      <c r="F18" s="278">
        <f t="shared" si="2"/>
        <v>1.3605442176870748E-2</v>
      </c>
      <c r="G18" s="227">
        <f t="shared" si="0"/>
        <v>0.77551020408163263</v>
      </c>
      <c r="I18" t="s">
        <v>1180</v>
      </c>
    </row>
    <row r="19" spans="1:9" ht="15" customHeight="1" thickBot="1">
      <c r="A19" s="143" t="s">
        <v>110</v>
      </c>
      <c r="B19" s="10" t="s">
        <v>94</v>
      </c>
      <c r="C19" s="13">
        <f>$C$5</f>
        <v>132</v>
      </c>
      <c r="D19" s="280">
        <f>COUNTIFS(NonCashLast30,"&gt;=8",NonCashLast30,"&lt;=9",ClientHistoricalEntryExit,"Entry")</f>
        <v>0</v>
      </c>
      <c r="E19" s="315">
        <f>COUNTIFS(NonCashLast30,"",ClientHistoricalEntryExit,"Entry")</f>
        <v>158</v>
      </c>
      <c r="F19" s="278">
        <f t="shared" si="2"/>
        <v>0</v>
      </c>
      <c r="G19" s="227">
        <f t="shared" si="0"/>
        <v>1.196969696969697</v>
      </c>
      <c r="I19" t="s">
        <v>1192</v>
      </c>
    </row>
    <row r="20" spans="1:9" ht="15" customHeight="1" thickBot="1">
      <c r="A20" s="142" t="s">
        <v>111</v>
      </c>
      <c r="B20" s="163" t="s">
        <v>109</v>
      </c>
      <c r="C20" s="164">
        <f>$C$18</f>
        <v>147</v>
      </c>
      <c r="D20" s="316">
        <f>COUNTIFS(NonCashLast30,"&gt;=8",NonCashLast30,"&lt;=9",ClientHistoricalEntryExit,"Exit")</f>
        <v>0</v>
      </c>
      <c r="E20" s="315">
        <f>COUNTIFS(NonCashLast30,"",ClientHistoricalEntryExit,"Exit")</f>
        <v>114</v>
      </c>
      <c r="F20" s="278">
        <f t="shared" si="2"/>
        <v>0</v>
      </c>
      <c r="G20" s="227">
        <f t="shared" si="0"/>
        <v>0.77551020408163263</v>
      </c>
    </row>
    <row r="21" spans="1:9" ht="15" customHeight="1" thickBot="1">
      <c r="A21" s="31" t="s">
        <v>207</v>
      </c>
      <c r="B21" s="163" t="s">
        <v>94</v>
      </c>
      <c r="C21" s="292">
        <f>COUNTIFS(LengthOfStay_Total,"&gt;0",[1]ProgramParticipation!$AK:$AK,"&lt;&gt;HPRP")</f>
        <v>132</v>
      </c>
      <c r="D21" s="163">
        <f>COUNTIFS(LastClientHistorical,"Y",PhysDisability,"&gt;=8",ProgramTypePP,"&lt;&gt;5")</f>
        <v>0</v>
      </c>
      <c r="E21" s="163">
        <f>COUNTIFS(LastClientHistorical,"Y",PhysDisability,"",ProgramTypePP,"&lt;&gt;5")</f>
        <v>304</v>
      </c>
      <c r="F21" s="278">
        <f t="shared" si="2"/>
        <v>0</v>
      </c>
      <c r="G21" s="227">
        <f t="shared" si="0"/>
        <v>2.3030303030303032</v>
      </c>
    </row>
    <row r="22" spans="1:9" ht="15" customHeight="1" thickBot="1">
      <c r="A22" s="31" t="s">
        <v>208</v>
      </c>
      <c r="B22" s="163" t="s">
        <v>94</v>
      </c>
      <c r="C22" s="13">
        <f>$C$5</f>
        <v>132</v>
      </c>
      <c r="D22" s="163">
        <f>COUNTIFS(LastClientHistorical,"Y",DevDisability,"&gt;=8",ProgramTypePP,"&lt;&gt;5")</f>
        <v>0</v>
      </c>
      <c r="E22" s="163">
        <f>COUNTIFS(LastClientHistorical,"Y",DevDisability,"",ProgramTypePP,"&lt;&gt;5")</f>
        <v>304</v>
      </c>
      <c r="F22" s="278">
        <f t="shared" si="2"/>
        <v>0</v>
      </c>
      <c r="G22" s="227">
        <f t="shared" si="0"/>
        <v>2.3030303030303032</v>
      </c>
    </row>
    <row r="23" spans="1:9" ht="15" customHeight="1" thickBot="1">
      <c r="A23" s="31" t="s">
        <v>209</v>
      </c>
      <c r="B23" s="163" t="s">
        <v>94</v>
      </c>
      <c r="C23" s="13">
        <f>$C$5</f>
        <v>132</v>
      </c>
      <c r="D23" s="163">
        <f>COUNTIFS(LastClientHistorical,"Y",ChronicHealth,"&gt;=8",ProgramTypePP,"&lt;&gt;5")</f>
        <v>0</v>
      </c>
      <c r="E23" s="163">
        <f>COUNTIFS(LastClientHistorical,"Y",ChronicHealth,"",ProgramTypePP,"&lt;&gt;5")</f>
        <v>328</v>
      </c>
      <c r="F23" s="278">
        <f t="shared" si="2"/>
        <v>0</v>
      </c>
      <c r="G23" s="227">
        <f t="shared" si="0"/>
        <v>2.4848484848484849</v>
      </c>
    </row>
    <row r="24" spans="1:9" ht="15" customHeight="1" thickBot="1">
      <c r="A24" s="31" t="s">
        <v>203</v>
      </c>
      <c r="B24" s="163" t="s">
        <v>94</v>
      </c>
      <c r="C24" s="13">
        <f>$C$5</f>
        <v>132</v>
      </c>
      <c r="D24" s="163">
        <f>COUNTIFS(LastClientHistorical,"Y",HIV_AIDS,"&gt;=8",ProgramTypePP,"&lt;&gt;5")</f>
        <v>0</v>
      </c>
      <c r="E24" s="163">
        <f>COUNTIFS(LastClientHistorical,"Y",HIV_AIDS,"",ProgramTypePP,"&lt;&gt;5")</f>
        <v>304</v>
      </c>
      <c r="F24" s="278">
        <f t="shared" si="2"/>
        <v>0</v>
      </c>
      <c r="G24" s="227">
        <f t="shared" si="0"/>
        <v>2.3030303030303032</v>
      </c>
      <c r="I24" t="s">
        <v>1177</v>
      </c>
    </row>
    <row r="25" spans="1:9" ht="15" customHeight="1" thickBot="1">
      <c r="A25" s="31" t="s">
        <v>204</v>
      </c>
      <c r="B25" s="163" t="s">
        <v>94</v>
      </c>
      <c r="C25" s="13">
        <f>$C$5</f>
        <v>132</v>
      </c>
      <c r="D25" s="163">
        <f>COUNTIFS(LastClientHistorical,"Y",MentalHealth,"&gt;=8",ProgramTypePP,"&lt;&gt;5")</f>
        <v>0</v>
      </c>
      <c r="E25" s="163">
        <f>COUNTIFS(LastClientHistorical,"Y",MentalHealth,"",ProgramTypePP,"&lt;&gt;5")</f>
        <v>304</v>
      </c>
      <c r="F25" s="278">
        <f t="shared" si="2"/>
        <v>0</v>
      </c>
      <c r="G25" s="227">
        <f t="shared" si="0"/>
        <v>2.3030303030303032</v>
      </c>
      <c r="I25" t="s">
        <v>1175</v>
      </c>
    </row>
    <row r="26" spans="1:9" ht="15" customHeight="1" thickBot="1">
      <c r="A26" s="35" t="s">
        <v>205</v>
      </c>
      <c r="B26" s="163" t="s">
        <v>94</v>
      </c>
      <c r="C26" s="13">
        <f>$C$5</f>
        <v>132</v>
      </c>
      <c r="D26" s="163">
        <f>COUNTIFS(LastClientHistorical,"Y",SubstanceAbuse,"&gt;=8",ProgramTypePP,"&lt;&gt;5")</f>
        <v>1</v>
      </c>
      <c r="E26" s="163">
        <f>COUNTIFS(LastClientHistorical,"Y",SubstanceAbuse,"",ProgramTypePP,"&lt;&gt;5")</f>
        <v>304</v>
      </c>
      <c r="F26" s="278">
        <f t="shared" si="2"/>
        <v>7.575757575757576E-3</v>
      </c>
      <c r="G26" s="227">
        <f t="shared" si="0"/>
        <v>2.3030303030303032</v>
      </c>
      <c r="I26" t="s">
        <v>1176</v>
      </c>
    </row>
    <row r="27" spans="1:9" ht="15" customHeight="1" thickBot="1">
      <c r="A27" s="31" t="s">
        <v>112</v>
      </c>
      <c r="B27" s="163" t="s">
        <v>1166</v>
      </c>
      <c r="C27" s="141">
        <f>C15</f>
        <v>90</v>
      </c>
      <c r="D27" s="163">
        <f>COUNTIFS(LastClientHistorical,"Y",PhysDisability,"&gt;=8")</f>
        <v>0</v>
      </c>
      <c r="E27" s="163">
        <f>COUNTIFS(LastClientHistorical,"Y",PhysDisability,"")</f>
        <v>304</v>
      </c>
      <c r="F27" s="278">
        <f t="shared" si="2"/>
        <v>0</v>
      </c>
      <c r="G27" s="227">
        <f t="shared" si="0"/>
        <v>3.3777777777777778</v>
      </c>
    </row>
    <row r="28" spans="1:9" ht="15" customHeight="1" thickBot="1">
      <c r="A28" s="21" t="s">
        <v>113</v>
      </c>
      <c r="B28" s="141" t="s">
        <v>109</v>
      </c>
      <c r="C28" s="30">
        <f>$C$18</f>
        <v>147</v>
      </c>
      <c r="D28" s="283">
        <f>COUNTIFS(InClient,1,LastEpisode,"Y",ProgramExitDate,"&lt;&gt;""",Destination,"&gt;=8",Destination,"&lt;=9")</f>
        <v>3</v>
      </c>
      <c r="E28" s="141">
        <f>COUNTIFS(InClient,1,LastEpisode,"Y",ProgramExitDate,"&lt;&gt;""",Destination,"")</f>
        <v>41</v>
      </c>
      <c r="F28" s="278">
        <f t="shared" si="2"/>
        <v>2.0408163265306121E-2</v>
      </c>
      <c r="G28" s="227">
        <f t="shared" si="0"/>
        <v>0.27891156462585032</v>
      </c>
    </row>
    <row r="30" spans="1:9">
      <c r="A30" t="s">
        <v>206</v>
      </c>
    </row>
  </sheetData>
  <mergeCells count="2">
    <mergeCell ref="A1:G1"/>
    <mergeCell ref="A2:G2"/>
  </mergeCells>
  <conditionalFormatting sqref="F7:F28">
    <cfRule type="colorScale" priority="2">
      <colorScale>
        <cfvo type="min" val="0"/>
        <cfvo type="percentile" val="50"/>
        <cfvo type="max" val="0"/>
        <color rgb="FF63BE7B"/>
        <color rgb="FFFFEB84"/>
        <color rgb="FFF8696B"/>
      </colorScale>
    </cfRule>
  </conditionalFormatting>
  <conditionalFormatting sqref="G5:G28">
    <cfRule type="colorScale" priority="1">
      <colorScale>
        <cfvo type="min" val="0"/>
        <cfvo type="percentile" val="50"/>
        <cfvo type="max" val="0"/>
        <color rgb="FF63BE7B"/>
        <color rgb="FFFFEB84"/>
        <color rgb="FFF8696B"/>
      </colorScale>
    </cfRule>
  </conditionalFormatting>
  <pageMargins left="0.17" right="0.15" top="0.47" bottom="0.4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sheetPr codeName="Sheet5"/>
  <dimension ref="A1:J37"/>
  <sheetViews>
    <sheetView topLeftCell="A16" workbookViewId="0">
      <selection activeCell="B37" sqref="B37"/>
    </sheetView>
  </sheetViews>
  <sheetFormatPr defaultRowHeight="15"/>
  <cols>
    <col min="1" max="1" width="29.7109375" style="23" customWidth="1"/>
    <col min="2" max="2" width="12.85546875" customWidth="1"/>
    <col min="3" max="3" width="15.140625" customWidth="1"/>
    <col min="4" max="4" width="15.7109375" customWidth="1"/>
    <col min="5" max="5" width="16.140625" customWidth="1"/>
    <col min="7" max="7" width="73.28515625" bestFit="1" customWidth="1"/>
  </cols>
  <sheetData>
    <row r="1" spans="1:7" ht="28.5" customHeight="1" thickTop="1">
      <c r="A1" s="462" t="s">
        <v>114</v>
      </c>
      <c r="B1" s="463"/>
      <c r="C1" s="463"/>
      <c r="D1" s="463"/>
      <c r="E1" s="464"/>
    </row>
    <row r="2" spans="1:7" ht="15.75" customHeight="1" thickBot="1">
      <c r="A2" s="465" t="s">
        <v>115</v>
      </c>
      <c r="B2" s="466"/>
      <c r="C2" s="466"/>
      <c r="D2" s="466"/>
      <c r="E2" s="467"/>
      <c r="G2" t="str">
        <f>'Q3&amp;4'!C3</f>
        <v>HPRP</v>
      </c>
    </row>
    <row r="3" spans="1:7" ht="25.5" customHeight="1" thickTop="1" thickBot="1">
      <c r="A3" s="546"/>
      <c r="B3" s="546" t="s">
        <v>116</v>
      </c>
      <c r="C3" s="546" t="s">
        <v>117</v>
      </c>
      <c r="D3" s="471" t="s">
        <v>118</v>
      </c>
      <c r="E3" s="473"/>
    </row>
    <row r="4" spans="1:7" ht="55.5" customHeight="1" thickBot="1">
      <c r="A4" s="550"/>
      <c r="B4" s="550"/>
      <c r="C4" s="550"/>
      <c r="D4" s="314" t="s">
        <v>119</v>
      </c>
      <c r="E4" s="314" t="s">
        <v>120</v>
      </c>
      <c r="G4" s="318" t="s">
        <v>1101</v>
      </c>
    </row>
    <row r="5" spans="1:7" ht="18.75" customHeight="1">
      <c r="A5" s="540" t="s">
        <v>121</v>
      </c>
      <c r="B5" s="541"/>
      <c r="C5" s="541"/>
      <c r="D5" s="541"/>
      <c r="E5" s="542"/>
    </row>
    <row r="6" spans="1:7" ht="15.75" customHeight="1" thickBot="1">
      <c r="A6" s="537" t="s">
        <v>15</v>
      </c>
      <c r="B6" s="538"/>
      <c r="C6" s="538"/>
      <c r="D6" s="538"/>
      <c r="E6" s="539"/>
    </row>
    <row r="7" spans="1:7" ht="15" customHeight="1" thickBot="1">
      <c r="A7" s="21" t="s">
        <v>122</v>
      </c>
      <c r="B7" s="10">
        <f>COUNTIF(AdultOrChildAtLastEntry,"Adult")</f>
        <v>90</v>
      </c>
      <c r="C7" s="10">
        <f>COUNTIFS(AdultOrChildAtLastEntry,"Adult",HouseholdTypeClient,"HHNoKids")</f>
        <v>73</v>
      </c>
      <c r="D7" s="10">
        <f>COUNTIFS(AdultOrChildAtLastEntry,"Adult",HouseholdTypeClient,"AdultChild")</f>
        <v>0</v>
      </c>
      <c r="E7" s="16"/>
      <c r="G7" s="169"/>
    </row>
    <row r="8" spans="1:7" ht="15" customHeight="1" thickBot="1">
      <c r="A8" s="21" t="s">
        <v>126</v>
      </c>
      <c r="B8" s="320">
        <f>COUNTIF(AdultOrChildAtLastEntry,"Child")</f>
        <v>67</v>
      </c>
      <c r="C8" s="16"/>
      <c r="D8" s="10">
        <f>COUNTIFS(AdultOrChildAtLastEntry,"Child",HouseholdTypeClient,"AdultChild")</f>
        <v>0</v>
      </c>
      <c r="E8" s="10">
        <f>COUNTIFS(AdultOrChildAtLastEntry,"Child",HouseholdTypeClient,"HHKidsOnly")</f>
        <v>58</v>
      </c>
    </row>
    <row r="9" spans="1:7" ht="15" customHeight="1" thickBot="1">
      <c r="A9" s="21" t="s">
        <v>130</v>
      </c>
      <c r="B9" s="276">
        <f>COUNTIFS(CheckDOB_DQ,"&gt;=8",CheckDOB_DQ,"&lt;=9",LengthOfStay_Total,"&gt;0")</f>
        <v>3</v>
      </c>
      <c r="C9" s="10">
        <f>COUNTIFS(CheckDOB_DQ,"&gt;=8",CheckDOB_DQ,"&lt;=9",HouseholdTypeClient,"HHNoKids")</f>
        <v>3</v>
      </c>
      <c r="D9" s="317">
        <f>COUNTIFS(CheckDOB_DQ,"&gt;=8",CheckDOB_DQ,"&lt;=9",HouseholdTypeClient,"AdultChild")</f>
        <v>0</v>
      </c>
      <c r="E9" s="317">
        <f>COUNTIFS(CheckDOB_DQ,"&gt;=8",CheckDOB_DQ,"&lt;=9",HouseholdTypeClient,"HHKidsOnly")</f>
        <v>0</v>
      </c>
      <c r="G9" s="169" t="s">
        <v>1196</v>
      </c>
    </row>
    <row r="10" spans="1:7" ht="15" customHeight="1" thickBot="1">
      <c r="A10" s="21" t="s">
        <v>134</v>
      </c>
      <c r="B10" s="276">
        <f>COUNTIFS(DateOfBirth,"",CheckDOB_DQ,"",LengthOfStay_Total,"&gt;0")</f>
        <v>0</v>
      </c>
      <c r="C10" s="317">
        <f>COUNTIFS(DateOfBirth,"",CheckDOB_DQ,"",LengthOfStay_Total,"&gt;0",HouseholdTypeClient,"HHNoKids")</f>
        <v>0</v>
      </c>
      <c r="D10" s="317">
        <f>COUNTIFS(DateOfBirth,"",CheckDOB_DQ,"",LengthOfStay_Total,"&gt;0",HouseholdTypeClient,"AdultChild")</f>
        <v>0</v>
      </c>
      <c r="E10" s="317">
        <f>COUNTIFS(DateOfBirth,"",CheckDOB_DQ,"",LengthOfStay_Total,"&gt;0",HouseholdTypeClient,"HHKidsOnly")</f>
        <v>0</v>
      </c>
      <c r="G10" s="169" t="s">
        <v>1195</v>
      </c>
    </row>
    <row r="11" spans="1:7" ht="15" customHeight="1" thickBot="1">
      <c r="A11" s="17" t="s">
        <v>116</v>
      </c>
      <c r="B11" s="14">
        <f>SUM(B7:B10)</f>
        <v>160</v>
      </c>
      <c r="C11" s="14">
        <f>SUM(C7:C10)</f>
        <v>76</v>
      </c>
      <c r="D11" s="14">
        <f>SUM(D7:D10)</f>
        <v>0</v>
      </c>
      <c r="E11" s="14">
        <f>SUM(E7:E10)</f>
        <v>58</v>
      </c>
    </row>
    <row r="12" spans="1:7" ht="20.25" customHeight="1">
      <c r="A12" s="540" t="s">
        <v>138</v>
      </c>
      <c r="B12" s="541"/>
      <c r="C12" s="541"/>
      <c r="D12" s="541"/>
      <c r="E12" s="542"/>
    </row>
    <row r="13" spans="1:7" ht="15.75" thickBot="1">
      <c r="A13" s="537" t="s">
        <v>139</v>
      </c>
      <c r="B13" s="538"/>
      <c r="C13" s="538"/>
      <c r="D13" s="538"/>
      <c r="E13" s="539"/>
    </row>
    <row r="14" spans="1:7" ht="15" customHeight="1" thickBot="1">
      <c r="A14" s="15" t="s">
        <v>140</v>
      </c>
      <c r="B14" s="321">
        <f>SUM(LengthOfStay_Total)/365</f>
        <v>23.123287671232877</v>
      </c>
      <c r="C14" s="321">
        <f>SUMIF(HouseholdTypeClient,"HHNoKids",LengthOfStay_Total)/365</f>
        <v>16.627397260273973</v>
      </c>
      <c r="D14" s="321">
        <f>SUMIF(HouseholdTypeClient,"AdultChild",LengthOfStay_Total)/365</f>
        <v>0</v>
      </c>
      <c r="E14" s="321">
        <f>SUMIF(HouseholdTypeClient,"HHKidsOnly",LengthOfStay_Total)/365</f>
        <v>11.194520547945206</v>
      </c>
    </row>
    <row r="15" spans="1:7" ht="18" customHeight="1">
      <c r="A15" s="540" t="s">
        <v>144</v>
      </c>
      <c r="B15" s="541"/>
      <c r="C15" s="541"/>
      <c r="D15" s="541"/>
      <c r="E15" s="542"/>
    </row>
    <row r="16" spans="1:7" ht="15.75" thickBot="1">
      <c r="A16" s="537" t="s">
        <v>139</v>
      </c>
      <c r="B16" s="538"/>
      <c r="C16" s="538"/>
      <c r="D16" s="538"/>
      <c r="E16" s="539"/>
    </row>
    <row r="17" spans="1:10" ht="15.75" thickBot="1">
      <c r="A17" s="543" t="s">
        <v>145</v>
      </c>
      <c r="B17" s="544"/>
      <c r="C17" s="544"/>
      <c r="D17" s="544"/>
      <c r="E17" s="545"/>
    </row>
    <row r="18" spans="1:10" ht="15" customHeight="1" thickBot="1">
      <c r="A18" s="22" t="s">
        <v>146</v>
      </c>
      <c r="B18" s="10">
        <f>COUNTIF(PointInTime1,1)</f>
        <v>7</v>
      </c>
      <c r="C18" s="320">
        <f>COUNTIFS(HouseholdTypeClient,"HHNoKids",PointInTime1,1)</f>
        <v>4</v>
      </c>
      <c r="D18" s="320">
        <f>COUNTIFS(HouseholdTypeClient,"AdultChild",PointInTime1,1)</f>
        <v>0</v>
      </c>
      <c r="E18" s="320">
        <f>COUNTIFS(HouseholdTypeClient,"HHKidsOnly",PointInTime1,1)</f>
        <v>2</v>
      </c>
      <c r="G18" s="169" t="s">
        <v>1197</v>
      </c>
      <c r="H18" s="165"/>
      <c r="I18" s="165"/>
      <c r="J18" s="165"/>
    </row>
    <row r="19" spans="1:10" ht="15" customHeight="1" thickBot="1">
      <c r="A19" s="22" t="s">
        <v>150</v>
      </c>
      <c r="B19" s="320">
        <f>COUNTIF(PointInTime2,1)</f>
        <v>13</v>
      </c>
      <c r="C19" s="320">
        <f>COUNTIFS(HouseholdTypeClient,"HHNoKids",PointInTime2,1)</f>
        <v>7</v>
      </c>
      <c r="D19" s="320">
        <f>COUNTIFS(HouseholdTypeClient,"AdultChild",PointInTime2,1)</f>
        <v>0</v>
      </c>
      <c r="E19" s="320">
        <f>COUNTIFS(HouseholdTypeClient,"HHKidsOnly",PointInTime2,1)</f>
        <v>2</v>
      </c>
    </row>
    <row r="20" spans="1:10" ht="15" customHeight="1" thickBot="1">
      <c r="A20" s="22" t="s">
        <v>154</v>
      </c>
      <c r="B20" s="320">
        <f>COUNTIF(PointInTime3,1)</f>
        <v>19</v>
      </c>
      <c r="C20" s="320">
        <f>COUNTIFS(HouseholdTypeClient,"HHNoKids",PointInTime3,1)</f>
        <v>9</v>
      </c>
      <c r="D20" s="320">
        <f>COUNTIFS(HouseholdTypeClient,"AdultChild",PointInTime3,1)</f>
        <v>0</v>
      </c>
      <c r="E20" s="320">
        <f>COUNTIFS(HouseholdTypeClient,"HHKidsOnly",PointInTime3,1)</f>
        <v>6</v>
      </c>
    </row>
    <row r="21" spans="1:10" ht="15" customHeight="1" thickBot="1">
      <c r="A21" s="22" t="s">
        <v>158</v>
      </c>
      <c r="B21" s="320">
        <f>COUNTIF(PointInTime4,1)</f>
        <v>92</v>
      </c>
      <c r="C21" s="320">
        <f>COUNTIFS(HouseholdTypeClient,"HHNoKids",PointInTime4,1)</f>
        <v>45</v>
      </c>
      <c r="D21" s="320">
        <f>COUNTIFS(HouseholdTypeClient,"AdultChild",PointInTime4,1)</f>
        <v>0</v>
      </c>
      <c r="E21" s="320">
        <f>COUNTIFS(HouseholdTypeClient,"HHKidsOnly",PointInTime4,1)</f>
        <v>26</v>
      </c>
    </row>
    <row r="22" spans="1:10" ht="15.75" thickBot="1"/>
    <row r="23" spans="1:10" ht="15.75" thickTop="1">
      <c r="A23" s="462" t="s">
        <v>161</v>
      </c>
      <c r="B23" s="463"/>
      <c r="C23" s="463"/>
      <c r="D23" s="463"/>
      <c r="E23" s="464"/>
    </row>
    <row r="24" spans="1:10" ht="15.75" thickBot="1">
      <c r="A24" s="465" t="s">
        <v>115</v>
      </c>
      <c r="B24" s="466"/>
      <c r="C24" s="466"/>
      <c r="D24" s="466"/>
      <c r="E24" s="467"/>
    </row>
    <row r="25" spans="1:10" ht="16.5" thickTop="1" thickBot="1">
      <c r="A25" s="546"/>
      <c r="B25" s="546" t="s">
        <v>162</v>
      </c>
      <c r="C25" s="546" t="s">
        <v>163</v>
      </c>
      <c r="D25" s="548" t="s">
        <v>164</v>
      </c>
      <c r="E25" s="549"/>
    </row>
    <row r="26" spans="1:10" ht="40.5" thickTop="1" thickBot="1">
      <c r="A26" s="547"/>
      <c r="B26" s="547"/>
      <c r="C26" s="547"/>
      <c r="D26" s="18" t="s">
        <v>165</v>
      </c>
      <c r="E26" s="18" t="s">
        <v>166</v>
      </c>
    </row>
    <row r="27" spans="1:10" ht="15.75" thickTop="1">
      <c r="A27" s="534" t="s">
        <v>167</v>
      </c>
      <c r="B27" s="535"/>
      <c r="C27" s="535"/>
      <c r="D27" s="535"/>
      <c r="E27" s="536"/>
    </row>
    <row r="28" spans="1:10" ht="15.75" thickBot="1">
      <c r="A28" s="537" t="s">
        <v>15</v>
      </c>
      <c r="B28" s="538"/>
      <c r="C28" s="538"/>
      <c r="D28" s="538"/>
      <c r="E28" s="539"/>
    </row>
    <row r="29" spans="1:10" ht="15.75" thickBot="1">
      <c r="A29" s="21" t="s">
        <v>168</v>
      </c>
      <c r="B29" s="11" t="s">
        <v>169</v>
      </c>
      <c r="C29" s="11" t="s">
        <v>170</v>
      </c>
      <c r="D29" s="10" t="s">
        <v>171</v>
      </c>
      <c r="E29" s="10" t="s">
        <v>172</v>
      </c>
      <c r="G29" s="169" t="s">
        <v>1104</v>
      </c>
    </row>
    <row r="30" spans="1:10">
      <c r="A30" s="540" t="s">
        <v>173</v>
      </c>
      <c r="B30" s="541"/>
      <c r="C30" s="541"/>
      <c r="D30" s="541"/>
      <c r="E30" s="542"/>
    </row>
    <row r="31" spans="1:10" ht="15.75" thickBot="1">
      <c r="A31" s="537" t="s">
        <v>174</v>
      </c>
      <c r="B31" s="538"/>
      <c r="C31" s="538"/>
      <c r="D31" s="538"/>
      <c r="E31" s="539"/>
    </row>
    <row r="32" spans="1:10" ht="15.75" thickBot="1">
      <c r="A32" s="543" t="s">
        <v>175</v>
      </c>
      <c r="B32" s="544"/>
      <c r="C32" s="544"/>
      <c r="D32" s="544"/>
      <c r="E32" s="545"/>
    </row>
    <row r="33" spans="1:7" ht="15" customHeight="1" thickBot="1">
      <c r="A33" s="22" t="s">
        <v>146</v>
      </c>
      <c r="B33" s="19" t="s">
        <v>176</v>
      </c>
      <c r="C33" s="10" t="s">
        <v>177</v>
      </c>
      <c r="D33" s="10" t="s">
        <v>178</v>
      </c>
      <c r="E33" s="10" t="s">
        <v>179</v>
      </c>
      <c r="G33" s="169" t="s">
        <v>1104</v>
      </c>
    </row>
    <row r="34" spans="1:7" ht="15" customHeight="1" thickBot="1">
      <c r="A34" s="22" t="s">
        <v>150</v>
      </c>
      <c r="B34" s="19" t="s">
        <v>180</v>
      </c>
      <c r="C34" s="10" t="s">
        <v>181</v>
      </c>
      <c r="D34" s="10" t="s">
        <v>182</v>
      </c>
      <c r="E34" s="10" t="s">
        <v>183</v>
      </c>
    </row>
    <row r="35" spans="1:7" ht="15" customHeight="1" thickBot="1">
      <c r="A35" s="22" t="s">
        <v>154</v>
      </c>
      <c r="B35" s="19" t="s">
        <v>184</v>
      </c>
      <c r="C35" s="10" t="s">
        <v>185</v>
      </c>
      <c r="D35" s="10" t="s">
        <v>186</v>
      </c>
      <c r="E35" s="10" t="s">
        <v>187</v>
      </c>
    </row>
    <row r="36" spans="1:7" ht="15" customHeight="1" thickBot="1">
      <c r="A36" s="24" t="s">
        <v>158</v>
      </c>
      <c r="B36" s="20" t="s">
        <v>188</v>
      </c>
      <c r="C36" s="18" t="s">
        <v>189</v>
      </c>
      <c r="D36" s="18" t="s">
        <v>190</v>
      </c>
      <c r="E36" s="18" t="s">
        <v>191</v>
      </c>
    </row>
    <row r="37" spans="1:7" ht="26.25" customHeight="1" thickTop="1"/>
  </sheetData>
  <mergeCells count="24">
    <mergeCell ref="A16:E16"/>
    <mergeCell ref="A17:E17"/>
    <mergeCell ref="A5:E5"/>
    <mergeCell ref="A6:E6"/>
    <mergeCell ref="A12:E12"/>
    <mergeCell ref="A13:E13"/>
    <mergeCell ref="A15:E15"/>
    <mergeCell ref="A1:E1"/>
    <mergeCell ref="A2:E2"/>
    <mergeCell ref="A3:A4"/>
    <mergeCell ref="B3:B4"/>
    <mergeCell ref="C3:C4"/>
    <mergeCell ref="D3:E3"/>
    <mergeCell ref="A23:E23"/>
    <mergeCell ref="A24:E24"/>
    <mergeCell ref="A25:A26"/>
    <mergeCell ref="B25:B26"/>
    <mergeCell ref="C25:C26"/>
    <mergeCell ref="D25:E25"/>
    <mergeCell ref="A27:E27"/>
    <mergeCell ref="A28:E28"/>
    <mergeCell ref="A30:E30"/>
    <mergeCell ref="A31:E31"/>
    <mergeCell ref="A32:E32"/>
  </mergeCells>
  <conditionalFormatting sqref="B14">
    <cfRule type="expression" priority="1">
      <formula>$G$2="HPRP"</formula>
    </cfRule>
  </conditionalFormatting>
  <pageMargins left="0.7" right="0.7" top="0.45" bottom="0.3" header="0.3" footer="0.25"/>
  <pageSetup orientation="portrait" r:id="rId1"/>
</worksheet>
</file>

<file path=xl/worksheets/sheet6.xml><?xml version="1.0" encoding="utf-8"?>
<worksheet xmlns="http://schemas.openxmlformats.org/spreadsheetml/2006/main" xmlns:r="http://schemas.openxmlformats.org/officeDocument/2006/relationships">
  <sheetPr codeName="Sheet6"/>
  <dimension ref="A1:E20"/>
  <sheetViews>
    <sheetView workbookViewId="0">
      <selection activeCell="E7" sqref="E7"/>
    </sheetView>
  </sheetViews>
  <sheetFormatPr defaultRowHeight="15"/>
  <cols>
    <col min="1" max="1" width="29.7109375" style="23" customWidth="1"/>
    <col min="2" max="2" width="12.85546875" customWidth="1"/>
    <col min="3" max="3" width="15.140625" customWidth="1"/>
    <col min="4" max="4" width="15.7109375" customWidth="1"/>
    <col min="5" max="5" width="16.140625" customWidth="1"/>
  </cols>
  <sheetData>
    <row r="1" spans="1:5">
      <c r="A1" s="562" t="s">
        <v>192</v>
      </c>
      <c r="B1" s="563"/>
      <c r="C1" s="563"/>
      <c r="D1" s="563"/>
      <c r="E1" s="564"/>
    </row>
    <row r="2" spans="1:5" ht="15.75" thickBot="1">
      <c r="A2" s="569" t="s">
        <v>193</v>
      </c>
      <c r="B2" s="570"/>
      <c r="C2" s="570"/>
      <c r="D2" s="570"/>
      <c r="E2" s="571"/>
    </row>
    <row r="3" spans="1:5">
      <c r="A3" s="572" t="s">
        <v>194</v>
      </c>
      <c r="B3" s="573"/>
      <c r="C3" s="573"/>
      <c r="D3" s="573"/>
      <c r="E3" s="574"/>
    </row>
    <row r="4" spans="1:5" ht="15" customHeight="1">
      <c r="A4" s="575" t="s">
        <v>195</v>
      </c>
      <c r="B4" s="576"/>
      <c r="C4" s="576"/>
      <c r="D4" s="576"/>
      <c r="E4" s="25" t="s">
        <v>196</v>
      </c>
    </row>
    <row r="5" spans="1:5">
      <c r="A5" s="577" t="s">
        <v>197</v>
      </c>
      <c r="B5" s="578"/>
      <c r="C5" s="578"/>
      <c r="D5" s="578"/>
      <c r="E5" s="579"/>
    </row>
    <row r="6" spans="1:5" ht="15" customHeight="1">
      <c r="A6" s="565" t="s">
        <v>198</v>
      </c>
      <c r="B6" s="566"/>
      <c r="C6" s="566"/>
      <c r="D6" s="566"/>
      <c r="E6" s="580"/>
    </row>
    <row r="7" spans="1:5" ht="15" customHeight="1">
      <c r="A7" s="565" t="s">
        <v>146</v>
      </c>
      <c r="B7" s="566"/>
      <c r="C7" s="566"/>
      <c r="D7" s="566"/>
      <c r="E7" s="26" t="s">
        <v>199</v>
      </c>
    </row>
    <row r="8" spans="1:5" ht="15" customHeight="1">
      <c r="A8" s="565" t="s">
        <v>150</v>
      </c>
      <c r="B8" s="566"/>
      <c r="C8" s="566"/>
      <c r="D8" s="566"/>
      <c r="E8" s="26" t="s">
        <v>200</v>
      </c>
    </row>
    <row r="9" spans="1:5" ht="15" customHeight="1">
      <c r="A9" s="565" t="s">
        <v>154</v>
      </c>
      <c r="B9" s="566"/>
      <c r="C9" s="566"/>
      <c r="D9" s="566"/>
      <c r="E9" s="26" t="s">
        <v>201</v>
      </c>
    </row>
    <row r="10" spans="1:5" ht="15" customHeight="1" thickBot="1">
      <c r="A10" s="567" t="s">
        <v>158</v>
      </c>
      <c r="B10" s="568"/>
      <c r="C10" s="568"/>
      <c r="D10" s="568"/>
      <c r="E10" s="27" t="s">
        <v>202</v>
      </c>
    </row>
    <row r="11" spans="1:5" ht="15" customHeight="1">
      <c r="A11" s="560"/>
      <c r="B11" s="560"/>
      <c r="C11" s="560"/>
      <c r="D11" s="560"/>
      <c r="E11" s="560"/>
    </row>
    <row r="12" spans="1:5" ht="15.75" thickBot="1">
      <c r="A12" s="561"/>
      <c r="B12" s="561"/>
      <c r="C12" s="561"/>
      <c r="D12" s="561"/>
      <c r="E12" s="561"/>
    </row>
    <row r="13" spans="1:5" ht="15.75" customHeight="1">
      <c r="A13" s="551" t="s">
        <v>211</v>
      </c>
      <c r="B13" s="552"/>
      <c r="C13" s="552"/>
      <c r="D13" s="552"/>
      <c r="E13" s="553"/>
    </row>
    <row r="14" spans="1:5" ht="45" customHeight="1">
      <c r="A14" s="585" t="s">
        <v>212</v>
      </c>
      <c r="B14" s="586"/>
      <c r="C14" s="586"/>
      <c r="D14" s="586"/>
      <c r="E14" s="587"/>
    </row>
    <row r="15" spans="1:5" ht="15" customHeight="1">
      <c r="A15" s="554" t="s">
        <v>213</v>
      </c>
      <c r="B15" s="555"/>
      <c r="C15" s="555"/>
      <c r="D15" s="555"/>
      <c r="E15" s="556"/>
    </row>
    <row r="16" spans="1:5" ht="15.75" customHeight="1">
      <c r="A16" s="557" t="s">
        <v>214</v>
      </c>
      <c r="B16" s="558"/>
      <c r="C16" s="558"/>
      <c r="D16" s="558"/>
      <c r="E16" s="559"/>
    </row>
    <row r="17" spans="1:5" ht="15" customHeight="1">
      <c r="A17" s="581" t="s">
        <v>146</v>
      </c>
      <c r="B17" s="582"/>
      <c r="C17" s="582"/>
      <c r="D17" s="582"/>
      <c r="E17" s="26" t="s">
        <v>215</v>
      </c>
    </row>
    <row r="18" spans="1:5" ht="15" customHeight="1">
      <c r="A18" s="581" t="s">
        <v>150</v>
      </c>
      <c r="B18" s="582"/>
      <c r="C18" s="582"/>
      <c r="D18" s="582"/>
      <c r="E18" s="26" t="s">
        <v>216</v>
      </c>
    </row>
    <row r="19" spans="1:5" ht="15" customHeight="1">
      <c r="A19" s="581" t="s">
        <v>154</v>
      </c>
      <c r="B19" s="582"/>
      <c r="C19" s="582"/>
      <c r="D19" s="582"/>
      <c r="E19" s="26" t="s">
        <v>217</v>
      </c>
    </row>
    <row r="20" spans="1:5" ht="15" customHeight="1" thickBot="1">
      <c r="A20" s="583" t="s">
        <v>158</v>
      </c>
      <c r="B20" s="584"/>
      <c r="C20" s="584"/>
      <c r="D20" s="584"/>
      <c r="E20" s="27" t="s">
        <v>218</v>
      </c>
    </row>
  </sheetData>
  <mergeCells count="19">
    <mergeCell ref="A17:D17"/>
    <mergeCell ref="A18:D18"/>
    <mergeCell ref="A19:D19"/>
    <mergeCell ref="A20:D20"/>
    <mergeCell ref="A14:E14"/>
    <mergeCell ref="A13:E13"/>
    <mergeCell ref="A15:E15"/>
    <mergeCell ref="A16:E16"/>
    <mergeCell ref="A11:E12"/>
    <mergeCell ref="A1:E1"/>
    <mergeCell ref="A8:D8"/>
    <mergeCell ref="A9:D9"/>
    <mergeCell ref="A10:D10"/>
    <mergeCell ref="A2:E2"/>
    <mergeCell ref="A3:E3"/>
    <mergeCell ref="A4:D4"/>
    <mergeCell ref="A5:E5"/>
    <mergeCell ref="A6:E6"/>
    <mergeCell ref="A7:D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7"/>
  <dimension ref="A1:H26"/>
  <sheetViews>
    <sheetView topLeftCell="A2" workbookViewId="0">
      <selection activeCell="D9" sqref="D9"/>
    </sheetView>
  </sheetViews>
  <sheetFormatPr defaultRowHeight="15"/>
  <cols>
    <col min="1" max="1" width="33.7109375" customWidth="1"/>
    <col min="2" max="3" width="15.5703125" customWidth="1"/>
    <col min="4" max="4" width="15.42578125" customWidth="1"/>
    <col min="5" max="5" width="11.140625" customWidth="1"/>
    <col min="6" max="6" width="10.5703125" customWidth="1"/>
    <col min="7" max="7" width="29.7109375" bestFit="1" customWidth="1"/>
    <col min="8" max="8" width="9.140625" customWidth="1"/>
  </cols>
  <sheetData>
    <row r="1" spans="1:8" ht="15.75" thickTop="1">
      <c r="A1" s="594" t="s">
        <v>219</v>
      </c>
      <c r="B1" s="595"/>
      <c r="C1" s="595"/>
      <c r="D1" s="595"/>
      <c r="E1" s="595"/>
      <c r="F1" s="596"/>
      <c r="H1" t="b">
        <f>'[2]Q3&amp;4'!C3="SHP"</f>
        <v>1</v>
      </c>
    </row>
    <row r="2" spans="1:8" ht="24.75" customHeight="1">
      <c r="A2" s="597" t="s">
        <v>220</v>
      </c>
      <c r="B2" s="598"/>
      <c r="C2" s="598"/>
      <c r="D2" s="598"/>
      <c r="E2" s="598"/>
      <c r="F2" s="599"/>
    </row>
    <row r="3" spans="1:8" ht="15.75" thickBot="1">
      <c r="A3" s="600" t="s">
        <v>221</v>
      </c>
      <c r="B3" s="601"/>
      <c r="C3" s="601"/>
      <c r="D3" s="601"/>
      <c r="E3" s="601"/>
      <c r="F3" s="602"/>
    </row>
    <row r="4" spans="1:8" ht="93.75" customHeight="1" thickTop="1" thickBot="1">
      <c r="A4" s="37"/>
      <c r="B4" s="293" t="s">
        <v>1182</v>
      </c>
      <c r="C4" s="295" t="s">
        <v>1186</v>
      </c>
      <c r="D4" s="293" t="s">
        <v>1183</v>
      </c>
      <c r="E4" s="293" t="s">
        <v>1184</v>
      </c>
      <c r="F4" s="293" t="s">
        <v>222</v>
      </c>
      <c r="G4" s="296" t="s">
        <v>1191</v>
      </c>
    </row>
    <row r="5" spans="1:8" ht="45" customHeight="1" thickBot="1">
      <c r="A5" s="603" t="s">
        <v>1185</v>
      </c>
      <c r="B5" s="604"/>
      <c r="C5" s="604"/>
      <c r="D5" s="604"/>
      <c r="E5" s="604"/>
      <c r="F5" s="604"/>
      <c r="G5" t="s">
        <v>1179</v>
      </c>
    </row>
    <row r="6" spans="1:8" ht="15" customHeight="1" thickBot="1">
      <c r="A6" s="50" t="s">
        <v>223</v>
      </c>
      <c r="B6" s="229">
        <f>IF(CorrectGrant, SUMIFS(HouseholdSize,NumberOfContacts,1, ReportingColumn,1), "")</f>
        <v>0</v>
      </c>
      <c r="C6" s="229"/>
      <c r="D6" s="229">
        <f>IF(CorrectGrant, SUMIFS(HouseholdSize,NumberOfContacts,1, ReportingColumn,2), "")</f>
        <v>0</v>
      </c>
      <c r="E6" s="41">
        <f>IF(CorrectGrant, SUMIFS(HouseholdSize,NumberOfContacts,1, ReportingColumn,3), "")</f>
        <v>0</v>
      </c>
      <c r="F6" s="42">
        <f>IF(CorrectGrant, SUM(B6:E6), "")</f>
        <v>0</v>
      </c>
      <c r="G6" s="233"/>
    </row>
    <row r="7" spans="1:8" ht="15" customHeight="1" thickBot="1">
      <c r="A7" s="50" t="s">
        <v>225</v>
      </c>
      <c r="B7" s="229">
        <f>IF(CorrectGrant, SUMIFS(HouseholdSize,NumberOfContacts,"&gt;=2",NumberOfContacts,"&lt;=5", ReportingColumn,1), "")</f>
        <v>0</v>
      </c>
      <c r="C7" s="229"/>
      <c r="D7" s="39">
        <f>IF(CorrectGrant,SUMIFS(HouseholdSize,NumberOfContacts,"&gt;=2",NumberOfContacts,"&lt;=5",ReportingColumn,2),"")</f>
        <v>0</v>
      </c>
      <c r="E7" s="41">
        <f>IF(CorrectGrant, SUMIFS(HouseholdSize,NumberOfContacts,"&gt;=2",NumberOfContacts,"&lt;=5", ReportingColumn,3), "")</f>
        <v>0</v>
      </c>
      <c r="F7" s="42">
        <f>IF(CorrectGrant, SUM(B7:E7), "")</f>
        <v>0</v>
      </c>
      <c r="G7" s="36"/>
    </row>
    <row r="8" spans="1:8" ht="15" customHeight="1" thickBot="1">
      <c r="A8" s="50" t="s">
        <v>227</v>
      </c>
      <c r="B8" s="229">
        <f>IF(CorrectGrant, SUMIFS(HouseholdSize,NumberOfContacts,"&gt;=6",NumberOfContacts,"&lt;=9", ReportingColumn,1),"")</f>
        <v>0</v>
      </c>
      <c r="C8" s="229"/>
      <c r="D8" s="39">
        <f>IF(CorrectGrant,SUMIFS(HouseholdSize,NumberOfContacts,"&gt;=6",NumberOfContacts,"&lt;=9",ReportingColumn,2),"")</f>
        <v>0</v>
      </c>
      <c r="E8" s="41">
        <f>IF(CorrectGrant, SUMIFS(HouseholdSize,NumberOfContacts,"&gt;=6",NumberOfContacts,"&lt;=9", ReportingColumn,3), "")</f>
        <v>0</v>
      </c>
      <c r="F8" s="42">
        <f>IF(CorrectGrant, SUM(B8:E8), "")</f>
        <v>0</v>
      </c>
      <c r="G8" s="36"/>
    </row>
    <row r="9" spans="1:8" ht="15" customHeight="1" thickBot="1">
      <c r="A9" s="50" t="s">
        <v>229</v>
      </c>
      <c r="B9" s="229">
        <f>IF(CorrectGrant, SUMIFS(HouseholdSize,NumberOfContacts,"&gt;=10", ReportingColumn,1),"")</f>
        <v>0</v>
      </c>
      <c r="C9" s="229"/>
      <c r="D9" s="39">
        <f>IF(CorrectGrant, SUMIFS(HouseholdSize,NumberOfContacts,"&gt;=10", ReportingColumn,2), "")</f>
        <v>0</v>
      </c>
      <c r="E9" s="39">
        <f>IF(CorrectGrant, SUMIFS(HouseholdSize,NumberOfContacts,"&gt;=10", ReportingColumn,3), "")</f>
        <v>0</v>
      </c>
      <c r="F9" s="43">
        <f>IF(CorrectGrant, SUM(B9:E9), "")</f>
        <v>0</v>
      </c>
      <c r="G9" s="36"/>
    </row>
    <row r="10" spans="1:8" ht="33" customHeight="1" thickBot="1">
      <c r="A10" s="226" t="s">
        <v>231</v>
      </c>
      <c r="B10" s="44">
        <f>IF(CorrectGrant, SUM(B6:B9), "")</f>
        <v>0</v>
      </c>
      <c r="C10" s="44"/>
      <c r="D10" s="44">
        <f>IF(CorrectGrant, SUM(D6:D9), "")</f>
        <v>0</v>
      </c>
      <c r="E10" s="44">
        <f>IF(CorrectGrant, SUM(E6:E9),"")</f>
        <v>0</v>
      </c>
      <c r="F10" s="45">
        <f>IF(CorrectGrant, SUM(B10:E10), "")</f>
        <v>0</v>
      </c>
      <c r="G10" s="36"/>
    </row>
    <row r="11" spans="1:8" ht="45" customHeight="1" thickBot="1">
      <c r="A11" s="591" t="s">
        <v>232</v>
      </c>
      <c r="B11" s="592"/>
      <c r="C11" s="592"/>
      <c r="D11" s="592"/>
      <c r="E11" s="592"/>
      <c r="F11" s="593"/>
      <c r="G11" s="36"/>
    </row>
    <row r="12" spans="1:8" ht="15" customHeight="1" thickBot="1">
      <c r="A12" s="40" t="s">
        <v>1190</v>
      </c>
      <c r="B12" s="39">
        <f>IF(CorrectGrant, SUMIFS(HouseholdSize,NumberOfContactsBeforeEngagement,1, ReportingColumn,1), "")</f>
        <v>0</v>
      </c>
      <c r="C12" s="39"/>
      <c r="D12" s="39">
        <f>IF(CorrectGrant, SUMIFS(HouseholdSize,NumberOfContactsBeforeEngagement,1, ReportingColumn,2), "")</f>
        <v>0</v>
      </c>
      <c r="E12" s="39">
        <f>IF(CorrectGrant, SUMIFS(HouseholdSize,NumberOfContactsBeforeEngagement,1, ReportingColumn,3), "")</f>
        <v>0</v>
      </c>
      <c r="F12" s="42">
        <f>IF(CorrectGrant, SUM(B12:E12), "")</f>
        <v>0</v>
      </c>
      <c r="G12" s="233"/>
    </row>
    <row r="13" spans="1:8" ht="15" customHeight="1" thickBot="1">
      <c r="A13" s="40" t="s">
        <v>1189</v>
      </c>
      <c r="B13" s="39">
        <f>IF(CorrectGrant, SUMIFS(HouseholdSize,NumberOfContactsBeforeEngagement,"&gt;=2",NumberOfContactsBeforeEngagement,"&lt;=5", ReportingColumn,1), "")</f>
        <v>0</v>
      </c>
      <c r="C13" s="39"/>
      <c r="D13" s="39">
        <f>IF(CorrectGrant, SUMIFS(HouseholdSize,NumberOfContactsBeforeEngagement,"&gt;=2",NumberOfContactsBeforeEngagement,"&lt;=5", ReportingColumn,2), "")</f>
        <v>0</v>
      </c>
      <c r="E13" s="39">
        <f>IF(CorrectGrant, SUMIFS(HouseholdSize,NumberOfContactsBeforeEngagement,"&gt;=2",NumberOfContactsBeforeEngagement,"&lt;=5", ReportingColumn,3), "")</f>
        <v>0</v>
      </c>
      <c r="F13" s="42">
        <f>IF(CorrectGrant, SUM(B13:E13), "")</f>
        <v>0</v>
      </c>
    </row>
    <row r="14" spans="1:8" ht="15" customHeight="1" thickBot="1">
      <c r="A14" s="40" t="s">
        <v>1188</v>
      </c>
      <c r="B14" s="39">
        <f>IF(CorrectGrant, SUMIFS(HouseholdSize,NumberOfContactsBeforeEngagement,"&gt;=6",NumberOfContactsBeforeEngagement,"&lt;=9", ReportingColumn,1), "")</f>
        <v>0</v>
      </c>
      <c r="C14" s="39"/>
      <c r="D14" s="39">
        <f>IF(CorrectGrant, SUMIFS(HouseholdSize,NumberOfContactsBeforeEngagement,"&gt;=6",NumberOfContactsBeforeEngagement,"&lt;=9", ReportingColumn,2), "")</f>
        <v>0</v>
      </c>
      <c r="E14" s="39">
        <f>IF(CorrectGrant, SUMIFS(HouseholdSize,NumberOfContactsBeforeEngagement,"&gt;=6",NumberOfContactsBeforeEngagement,"&lt;=9", ReportingColumn,3), "")</f>
        <v>0</v>
      </c>
      <c r="F14" s="42">
        <f>IF(CorrectGrant, SUM(B14:E14), "")</f>
        <v>0</v>
      </c>
    </row>
    <row r="15" spans="1:8" ht="15" customHeight="1" thickBot="1">
      <c r="A15" s="40" t="s">
        <v>1187</v>
      </c>
      <c r="B15" s="39">
        <f>IF(CorrectGrant, SUMIFS(HouseholdSize,NumberOfContactsBeforeEngagement,"&gt;=10",ReportingColumn,1), "")</f>
        <v>0</v>
      </c>
      <c r="C15" s="39"/>
      <c r="D15" s="39">
        <f>IF(CorrectGrant, SUMIFS(HouseholdSize,NumberOfContactsBeforeEngagement,"&gt;=10",ReportingColumn,2), "")</f>
        <v>0</v>
      </c>
      <c r="E15" s="39">
        <f>IF(CorrectGrant, SUMIFS(HouseholdSize,NumberOfContactsBeforeEngagement,"&gt;=10",ReportingColumn,3), "")</f>
        <v>0</v>
      </c>
      <c r="F15" s="42">
        <f>IF(CorrectGrant, SUM(B15:E15), "")</f>
        <v>0</v>
      </c>
    </row>
    <row r="16" spans="1:8" ht="32.25" customHeight="1" thickBot="1">
      <c r="A16" s="226" t="s">
        <v>233</v>
      </c>
      <c r="B16" s="46">
        <f>IF(CorrectGrant, SUM(B12:B15), "")</f>
        <v>0</v>
      </c>
      <c r="C16" s="294"/>
      <c r="D16" s="47">
        <f>IF(CorrectGrant, SUM(D12:D15), "")</f>
        <v>0</v>
      </c>
      <c r="E16" s="47">
        <f>IF(CorrectGrant, SUM(E12:E15), "")</f>
        <v>0</v>
      </c>
      <c r="F16" s="48">
        <f>IF(CorrectGrant, SUM(F12:F15), "")</f>
        <v>0</v>
      </c>
    </row>
    <row r="17" spans="1:7" ht="15.75" thickBot="1">
      <c r="A17" s="588" t="s">
        <v>234</v>
      </c>
      <c r="B17" s="589"/>
      <c r="C17" s="589"/>
      <c r="D17" s="589"/>
      <c r="E17" s="589"/>
      <c r="F17" s="590"/>
    </row>
    <row r="18" spans="1:7" ht="44.25" customHeight="1" thickBot="1">
      <c r="A18" s="49" t="s">
        <v>235</v>
      </c>
      <c r="B18" s="230" t="str">
        <f>IF(CorrectGrant, IF(B10=0, "", B16/B10), "")</f>
        <v/>
      </c>
      <c r="C18" s="230"/>
      <c r="D18" s="230" t="str">
        <f>IF(CorrectGrant, IF(D10=0, "", D16/D10), "")</f>
        <v/>
      </c>
      <c r="E18" s="230" t="str">
        <f>IF(CorrectGrant, IF(E10=0, "", E16/E10), "")</f>
        <v/>
      </c>
      <c r="F18" s="230" t="str">
        <f>IF(CorrectGrant, IF(F10=0, "", F16/F10), "")</f>
        <v/>
      </c>
      <c r="G18" s="231"/>
    </row>
    <row r="21" spans="1:7">
      <c r="A21" s="38"/>
    </row>
    <row r="24" spans="1:7" ht="13.5" customHeight="1">
      <c r="A24" s="38"/>
    </row>
    <row r="25" spans="1:7" hidden="1"/>
    <row r="26" spans="1:7" ht="162.75" hidden="1" customHeight="1"/>
  </sheetData>
  <mergeCells count="6">
    <mergeCell ref="A17:F17"/>
    <mergeCell ref="A11:F11"/>
    <mergeCell ref="A1:F1"/>
    <mergeCell ref="A2:F2"/>
    <mergeCell ref="A3:F3"/>
    <mergeCell ref="A5:F5"/>
  </mergeCells>
  <hyperlinks>
    <hyperlink ref="A21" location="_ftnref1" display="_ftnref1"/>
    <hyperlink ref="A24" location="_ednref1" display="_ednref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codeName="Sheet27"/>
  <dimension ref="A1:H26"/>
  <sheetViews>
    <sheetView topLeftCell="A7" workbookViewId="0">
      <selection activeCell="D21" sqref="D21"/>
    </sheetView>
  </sheetViews>
  <sheetFormatPr defaultRowHeight="15"/>
  <cols>
    <col min="1" max="1" width="27.7109375" customWidth="1"/>
    <col min="2" max="6" width="14.7109375" customWidth="1"/>
    <col min="7" max="7" width="109.28515625" bestFit="1" customWidth="1"/>
    <col min="8" max="8" width="9.140625" customWidth="1"/>
  </cols>
  <sheetData>
    <row r="1" spans="1:8">
      <c r="A1" s="606" t="s">
        <v>219</v>
      </c>
      <c r="B1" s="607"/>
      <c r="C1" s="607"/>
      <c r="D1" s="607"/>
      <c r="E1" s="607"/>
      <c r="F1" s="608"/>
      <c r="H1" t="b">
        <f>'[2]Q3&amp;4'!C3="SHP"</f>
        <v>1</v>
      </c>
    </row>
    <row r="2" spans="1:8" ht="24.75" customHeight="1">
      <c r="A2" s="597" t="s">
        <v>220</v>
      </c>
      <c r="B2" s="598"/>
      <c r="C2" s="598"/>
      <c r="D2" s="598"/>
      <c r="E2" s="598"/>
      <c r="F2" s="599"/>
    </row>
    <row r="3" spans="1:8" ht="15.75" thickBot="1">
      <c r="A3" s="597" t="s">
        <v>221</v>
      </c>
      <c r="B3" s="598"/>
      <c r="C3" s="598"/>
      <c r="D3" s="598"/>
      <c r="E3" s="598"/>
      <c r="F3" s="599"/>
      <c r="G3" t="s">
        <v>1101</v>
      </c>
    </row>
    <row r="4" spans="1:8" ht="93.75" customHeight="1" thickBot="1">
      <c r="A4" s="173"/>
      <c r="B4" s="323" t="s">
        <v>1182</v>
      </c>
      <c r="C4" s="323" t="s">
        <v>1186</v>
      </c>
      <c r="D4" s="323" t="s">
        <v>1183</v>
      </c>
      <c r="E4" s="323" t="s">
        <v>1184</v>
      </c>
      <c r="F4" s="324" t="s">
        <v>222</v>
      </c>
      <c r="G4" s="296">
        <f>COUNTIF(ContactSite2,1)</f>
        <v>0</v>
      </c>
      <c r="H4">
        <f>COUNTIF(NumberOfContacts2,1)</f>
        <v>0</v>
      </c>
    </row>
    <row r="5" spans="1:8" ht="45" customHeight="1" thickBot="1">
      <c r="A5" s="603" t="s">
        <v>1185</v>
      </c>
      <c r="B5" s="604"/>
      <c r="C5" s="604"/>
      <c r="D5" s="604"/>
      <c r="E5" s="604"/>
      <c r="F5" s="609"/>
      <c r="G5" t="s">
        <v>1203</v>
      </c>
    </row>
    <row r="6" spans="1:8" ht="15" customHeight="1" thickBot="1">
      <c r="A6" s="50" t="s">
        <v>223</v>
      </c>
      <c r="B6" s="229">
        <f>COUNTIFS(ContactSite2,1,NumberOfContacts2,1)</f>
        <v>0</v>
      </c>
      <c r="C6" s="229">
        <f>COUNTIFS(ContactSite2,2,NumberOfContacts2,1)</f>
        <v>0</v>
      </c>
      <c r="D6" s="229">
        <f>COUNTIFS(ContactSite2,3,NumberOfContacts2,1)</f>
        <v>0</v>
      </c>
      <c r="E6" s="229">
        <f>COUNTIFS(ContactSite2,0,NumberOfContacts2,1)</f>
        <v>0</v>
      </c>
      <c r="F6" s="42">
        <f>IF(CorrectGrant, SUM(B6:E6), "")</f>
        <v>0</v>
      </c>
      <c r="G6" s="233" t="s">
        <v>1198</v>
      </c>
    </row>
    <row r="7" spans="1:8" ht="15" customHeight="1" thickBot="1">
      <c r="A7" s="50" t="s">
        <v>225</v>
      </c>
      <c r="B7" s="229">
        <f>COUNTIFS(ContactSite2,1,NumberOfContacts2,"&gt;=2",NumberOfContacts2,"&lt;=5")</f>
        <v>0</v>
      </c>
      <c r="C7" s="229">
        <f>COUNTIFS(ContactSite2,2,NumberOfContacts2,"&gt;=2",NumberOfContacts2,"&lt;=5")</f>
        <v>0</v>
      </c>
      <c r="D7" s="229">
        <f>COUNTIFS(ContactSite2,3,NumberOfContacts2,"&gt;=2",NumberOfContacts2,"&lt;=5")</f>
        <v>0</v>
      </c>
      <c r="E7" s="229">
        <f>COUNTIFS(ContactSite2,0,NumberOfContacts2,"&gt;=2",NumberOfContacts2,"&lt;=5")</f>
        <v>0</v>
      </c>
      <c r="F7" s="42">
        <f>IF(CorrectGrant, SUM(B7:E7), "")</f>
        <v>0</v>
      </c>
      <c r="G7" s="36" t="s">
        <v>1205</v>
      </c>
    </row>
    <row r="8" spans="1:8" ht="15" customHeight="1" thickBot="1">
      <c r="A8" s="50" t="s">
        <v>227</v>
      </c>
      <c r="B8" s="229">
        <f>IF(CorrectGrant, COUNTIFS(NumberOfContacts2,"&gt;=6",NumberOfContacts2,"&lt;=9",ContactSite2,1), "")</f>
        <v>0</v>
      </c>
      <c r="C8" s="229">
        <f>IF(CorrectGrant, COUNTIFS(NumberOfContacts2,"&gt;=6",NumberOfContacts2,"&lt;=9",ContactSite2,2), "")</f>
        <v>0</v>
      </c>
      <c r="D8" s="229">
        <f>IF(CorrectGrant, COUNTIFS(NumberOfContacts2,"&gt;=6",NumberOfContacts2,"&lt;=9",ContactSite2,3), "")</f>
        <v>0</v>
      </c>
      <c r="E8" s="229">
        <f>IF(CorrectGrant, COUNTIFS(NumberOfContacts2,"&gt;=6",NumberOfContacts2,"&lt;=9",ContactSite2,0), "")</f>
        <v>0</v>
      </c>
      <c r="F8" s="42">
        <f>IF(CorrectGrant, SUM(B8:E8), "")</f>
        <v>0</v>
      </c>
      <c r="G8" s="322" t="s">
        <v>1199</v>
      </c>
    </row>
    <row r="9" spans="1:8" ht="15" customHeight="1" thickBot="1">
      <c r="A9" s="50" t="s">
        <v>229</v>
      </c>
      <c r="B9" s="229">
        <f>IF(CorrectGrant, SUMIFS(HouseholdSize,NumberOfContacts2,"&gt;=10",ContactSite,1),"")</f>
        <v>0</v>
      </c>
      <c r="C9" s="229">
        <f>IF(CorrectGrant, SUMIFS(HouseholdSize,NumberOfContacts2,"&gt;=10",ContactSite,2),"")</f>
        <v>0</v>
      </c>
      <c r="D9" s="229">
        <f>IF(CorrectGrant, SUMIFS(HouseholdSize,NumberOfContacts2,"&gt;=10",ContactSite,3),"")</f>
        <v>0</v>
      </c>
      <c r="E9" s="229">
        <f>IF(CorrectGrant, SUMIFS(HouseholdSize,NumberOfContacts2,"&gt;=10",ContactSite,0),"")</f>
        <v>0</v>
      </c>
      <c r="F9" s="43">
        <f>IF(CorrectGrant, SUM(B9:E9), "")</f>
        <v>0</v>
      </c>
      <c r="G9" s="322" t="s">
        <v>1200</v>
      </c>
    </row>
    <row r="10" spans="1:8" ht="33" customHeight="1" thickBot="1">
      <c r="A10" s="226" t="s">
        <v>231</v>
      </c>
      <c r="B10" s="44">
        <f>IF(CorrectGrant, SUM(B6:B9), "")</f>
        <v>0</v>
      </c>
      <c r="C10" s="44">
        <f>IF(CorrectGrant, SUM(C6:C9), "")</f>
        <v>0</v>
      </c>
      <c r="D10" s="44">
        <f>IF(CorrectGrant, SUM(D6:D9), "")</f>
        <v>0</v>
      </c>
      <c r="E10" s="44">
        <f>IF(CorrectGrant, SUM(E6:E9),"")</f>
        <v>0</v>
      </c>
      <c r="F10" s="45">
        <f>IF(CorrectGrant, SUM(B10:E10), "")</f>
        <v>0</v>
      </c>
      <c r="G10" s="322" t="s">
        <v>1201</v>
      </c>
    </row>
    <row r="11" spans="1:8" ht="45" customHeight="1" thickBot="1">
      <c r="A11" s="591" t="s">
        <v>232</v>
      </c>
      <c r="B11" s="592"/>
      <c r="C11" s="592"/>
      <c r="D11" s="592"/>
      <c r="E11" s="592"/>
      <c r="F11" s="610"/>
      <c r="G11" s="36"/>
    </row>
    <row r="12" spans="1:8" ht="15" customHeight="1" thickBot="1">
      <c r="A12" s="40" t="s">
        <v>1190</v>
      </c>
      <c r="B12" s="39">
        <f>IF(CorrectGrant, COUNTIFS(ContactSite2,1,NumberOfContactsBeforeEngagement,1 ))</f>
        <v>0</v>
      </c>
      <c r="C12" s="39">
        <f>IF(CorrectGrant, COUNTIFS(ContactSite2,2,NumberOfContactsBeforeEngagement,1 ))</f>
        <v>0</v>
      </c>
      <c r="D12" s="39">
        <f>IF(CorrectGrant, COUNTIFS(ContactSite2,3,NumberOfContactsBeforeEngagement,1 ))</f>
        <v>0</v>
      </c>
      <c r="E12" s="39">
        <f>IF(CorrectGrant, COUNTIFS(ContactSite2,0,NumberOfContactsBeforeEngagement,1 ))</f>
        <v>0</v>
      </c>
      <c r="F12" s="42">
        <f>IF(CorrectGrant, SUM(B12:E12), "")</f>
        <v>0</v>
      </c>
      <c r="G12" s="233" t="s">
        <v>1202</v>
      </c>
    </row>
    <row r="13" spans="1:8" ht="15" customHeight="1" thickBot="1">
      <c r="A13" s="40" t="s">
        <v>1189</v>
      </c>
      <c r="B13" s="39">
        <f>IF(CorrectGrant, COUNTIFS(ContactSite2,1,NumberOfContactsBeforeEngagement,"&gt;=2",NumberOfContactsBeforeEngagement,"&lt;=5" ))</f>
        <v>0</v>
      </c>
      <c r="C13" s="39">
        <f>IF(CorrectGrant, COUNTIFS(ContactSite2,2,NumberOfContactsBeforeEngagement,"&gt;=2",NumberOfContactsBeforeEngagement,"&lt;=5" ))</f>
        <v>0</v>
      </c>
      <c r="D13" s="39">
        <f>IF(CorrectGrant, COUNTIFS(ContactSite2,3,NumberOfContactsBeforeEngagement,"&gt;=2",NumberOfContactsBeforeEngagement,"&lt;=5" ))</f>
        <v>0</v>
      </c>
      <c r="E13" s="39">
        <f>IF(CorrectGrant, COUNTIFS(ContactSite2,0,NumberOfContactsBeforeEngagement,"&gt;=2",NumberOfContactsBeforeEngagement,"&lt;=5" ))</f>
        <v>0</v>
      </c>
      <c r="F13" s="42">
        <f>IF(CorrectGrant, SUM(B13:E13), "")</f>
        <v>0</v>
      </c>
      <c r="G13" s="322" t="s">
        <v>1204</v>
      </c>
    </row>
    <row r="14" spans="1:8" ht="15" customHeight="1" thickBot="1">
      <c r="A14" s="40" t="s">
        <v>1188</v>
      </c>
      <c r="B14" s="39">
        <f>IF(CorrectGrant, COUNTIFS(ContactSite2,1,NumberOfContactsBeforeEngagement,"&gt;=6",NumberOfContactsBeforeEngagement,"&lt;=9" ))</f>
        <v>0</v>
      </c>
      <c r="C14" s="39">
        <f>IF(CorrectGrant, COUNTIFS(ContactSite2,2,NumberOfContactsBeforeEngagement,"&gt;=6",NumberOfContactsBeforeEngagement,"&lt;=9" ))</f>
        <v>0</v>
      </c>
      <c r="D14" s="39">
        <f>IF(CorrectGrant, COUNTIFS(ContactSite2,3,NumberOfContactsBeforeEngagement,"&gt;=6",NumberOfContactsBeforeEngagement,"&lt;=9" ))</f>
        <v>0</v>
      </c>
      <c r="E14" s="39">
        <f>IF(CorrectGrant, COUNTIFS(ContactSite2,0,NumberOfContactsBeforeEngagement,"&gt;=6",NumberOfContactsBeforeEngagement,"&lt;=9" ))</f>
        <v>0</v>
      </c>
      <c r="F14" s="42">
        <f>IF(CorrectGrant, SUM(B14:E14), "")</f>
        <v>0</v>
      </c>
    </row>
    <row r="15" spans="1:8" ht="15" customHeight="1" thickBot="1">
      <c r="A15" s="40" t="s">
        <v>1187</v>
      </c>
      <c r="B15" s="39">
        <f>IF(CorrectGrant, COUNTIFS(ContactSite2,1,NumberOfContactsBeforeEngagement,"&gt;=10"))</f>
        <v>0</v>
      </c>
      <c r="C15" s="39">
        <f>IF(CorrectGrant, COUNTIFS(ContactSite2,2,NumberOfContactsBeforeEngagement,"&gt;=10"))</f>
        <v>0</v>
      </c>
      <c r="D15" s="39">
        <f>IF(CorrectGrant, COUNTIFS(ContactSite2,3,NumberOfContactsBeforeEngagement,"&gt;=10"))</f>
        <v>0</v>
      </c>
      <c r="E15" s="39">
        <f>IF(CorrectGrant, COUNTIFS(ContactSite2,0,NumberOfContactsBeforeEngagement,"&gt;=10"))</f>
        <v>0</v>
      </c>
      <c r="F15" s="42">
        <f>IF(CorrectGrant, SUM(B15:E15), "")</f>
        <v>0</v>
      </c>
    </row>
    <row r="16" spans="1:8" ht="32.25" customHeight="1" thickBot="1">
      <c r="A16" s="226" t="s">
        <v>233</v>
      </c>
      <c r="B16" s="46">
        <f>IF(CorrectGrant, SUM(B12:B15), "")</f>
        <v>0</v>
      </c>
      <c r="C16" s="294">
        <f>IF(CorrectGrant, SUM(C12:C15), "")</f>
        <v>0</v>
      </c>
      <c r="D16" s="294">
        <f>IF(CorrectGrant, SUM(D12:D15), "")</f>
        <v>0</v>
      </c>
      <c r="E16" s="294">
        <f>IF(CorrectGrant, SUM(E12:E15), "")</f>
        <v>0</v>
      </c>
      <c r="F16" s="325">
        <f>IF(CorrectGrant, SUM(F12:F15), "")</f>
        <v>0</v>
      </c>
    </row>
    <row r="17" spans="1:7" ht="15.75" thickBot="1">
      <c r="A17" s="588" t="s">
        <v>234</v>
      </c>
      <c r="B17" s="589"/>
      <c r="C17" s="589"/>
      <c r="D17" s="589"/>
      <c r="E17" s="589"/>
      <c r="F17" s="605"/>
    </row>
    <row r="18" spans="1:7" ht="44.25" customHeight="1" thickBot="1">
      <c r="A18" s="49" t="s">
        <v>235</v>
      </c>
      <c r="B18" s="230" t="str">
        <f>IF(CorrectGrant, IF(B10=0, "", B16/B10), "")</f>
        <v/>
      </c>
      <c r="C18" s="230" t="str">
        <f>IF(CorrectGrant, IF(C10=0, "", C16/C10), "")</f>
        <v/>
      </c>
      <c r="D18" s="230" t="str">
        <f>IF(CorrectGrant, IF(D10=0, "", D16/D10), "")</f>
        <v/>
      </c>
      <c r="E18" s="230" t="str">
        <f>IF(CorrectGrant, IF(E10=0, "", E16/E10), "")</f>
        <v/>
      </c>
      <c r="F18" s="326" t="str">
        <f>IF(CorrectGrant, IF(F10=0, "", F16/F10), "")</f>
        <v/>
      </c>
      <c r="G18" s="231"/>
    </row>
    <row r="21" spans="1:7">
      <c r="A21" s="38"/>
    </row>
    <row r="24" spans="1:7" ht="13.5" customHeight="1">
      <c r="A24" s="38"/>
    </row>
    <row r="25" spans="1:7" hidden="1"/>
    <row r="26" spans="1:7" ht="162.75" hidden="1" customHeight="1"/>
  </sheetData>
  <mergeCells count="6">
    <mergeCell ref="A17:F17"/>
    <mergeCell ref="A1:F1"/>
    <mergeCell ref="A2:F2"/>
    <mergeCell ref="A3:F3"/>
    <mergeCell ref="A5:F5"/>
    <mergeCell ref="A11:F11"/>
  </mergeCells>
  <hyperlinks>
    <hyperlink ref="A21" location="_ftnref1" display="_ftnref1"/>
    <hyperlink ref="A24" location="_ednref1" display="_ednref1"/>
  </hyperlinks>
  <pageMargins left="0.26" right="0.28000000000000003"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Z35"/>
  <sheetViews>
    <sheetView topLeftCell="A14" zoomScale="90" zoomScaleNormal="90" workbookViewId="0">
      <selection activeCell="F20" sqref="F20:G20"/>
    </sheetView>
  </sheetViews>
  <sheetFormatPr defaultRowHeight="15"/>
  <cols>
    <col min="1" max="1" width="20.5703125" customWidth="1"/>
    <col min="2" max="25" width="3.42578125" customWidth="1"/>
    <col min="26" max="26" width="76.7109375" customWidth="1"/>
    <col min="27" max="37" width="3.7109375" customWidth="1"/>
  </cols>
  <sheetData>
    <row r="1" spans="1:26" ht="15.75" customHeight="1">
      <c r="A1" s="660" t="s">
        <v>236</v>
      </c>
      <c r="B1" s="661"/>
      <c r="C1" s="661"/>
      <c r="D1" s="661"/>
      <c r="E1" s="661"/>
      <c r="F1" s="661"/>
      <c r="G1" s="661"/>
      <c r="H1" s="661"/>
      <c r="I1" s="661"/>
      <c r="J1" s="661"/>
      <c r="K1" s="661"/>
      <c r="L1" s="661"/>
      <c r="M1" s="661"/>
      <c r="N1" s="661"/>
      <c r="O1" s="661"/>
      <c r="P1" s="661"/>
      <c r="Q1" s="661"/>
      <c r="R1" s="661"/>
      <c r="S1" s="661"/>
      <c r="T1" s="661"/>
      <c r="U1" s="661"/>
      <c r="V1" s="661"/>
      <c r="W1" s="661"/>
      <c r="X1" s="661"/>
      <c r="Y1" s="662"/>
      <c r="Z1" t="s">
        <v>1101</v>
      </c>
    </row>
    <row r="2" spans="1:26" ht="15" customHeight="1">
      <c r="A2" s="663" t="s">
        <v>237</v>
      </c>
      <c r="B2" s="664"/>
      <c r="C2" s="664"/>
      <c r="D2" s="664"/>
      <c r="E2" s="664"/>
      <c r="F2" s="664"/>
      <c r="G2" s="664"/>
      <c r="H2" s="664"/>
      <c r="I2" s="664"/>
      <c r="J2" s="664"/>
      <c r="K2" s="664"/>
      <c r="L2" s="664"/>
      <c r="M2" s="664"/>
      <c r="N2" s="664"/>
      <c r="O2" s="664"/>
      <c r="P2" s="664"/>
      <c r="Q2" s="664"/>
      <c r="R2" s="664"/>
      <c r="S2" s="664"/>
      <c r="T2" s="664"/>
      <c r="U2" s="664"/>
      <c r="V2" s="664"/>
      <c r="W2" s="664"/>
      <c r="X2" s="664"/>
      <c r="Y2" s="665"/>
    </row>
    <row r="3" spans="1:26" ht="15.75" customHeight="1" thickBot="1">
      <c r="A3" s="666" t="s">
        <v>221</v>
      </c>
      <c r="B3" s="667"/>
      <c r="C3" s="667"/>
      <c r="D3" s="667"/>
      <c r="E3" s="667"/>
      <c r="F3" s="667"/>
      <c r="G3" s="667"/>
      <c r="H3" s="667"/>
      <c r="I3" s="667"/>
      <c r="J3" s="667"/>
      <c r="K3" s="667"/>
      <c r="L3" s="667"/>
      <c r="M3" s="667"/>
      <c r="N3" s="667"/>
      <c r="O3" s="667"/>
      <c r="P3" s="667"/>
      <c r="Q3" s="667"/>
      <c r="R3" s="667"/>
      <c r="S3" s="667"/>
      <c r="T3" s="667"/>
      <c r="U3" s="667"/>
      <c r="V3" s="667"/>
      <c r="W3" s="667"/>
      <c r="X3" s="667"/>
      <c r="Y3" s="668"/>
    </row>
    <row r="4" spans="1:26" ht="25.5" customHeight="1" thickBot="1">
      <c r="A4" s="616" t="s">
        <v>238</v>
      </c>
      <c r="B4" s="481" t="s">
        <v>241</v>
      </c>
      <c r="C4" s="481"/>
      <c r="D4" s="481"/>
      <c r="E4" s="481"/>
      <c r="F4" s="481"/>
      <c r="G4" s="482"/>
      <c r="H4" s="480" t="s">
        <v>239</v>
      </c>
      <c r="I4" s="481"/>
      <c r="J4" s="481"/>
      <c r="K4" s="481"/>
      <c r="L4" s="481"/>
      <c r="M4" s="482"/>
      <c r="N4" s="504" t="s">
        <v>240</v>
      </c>
      <c r="O4" s="505"/>
      <c r="P4" s="505"/>
      <c r="Q4" s="505"/>
      <c r="R4" s="505"/>
      <c r="S4" s="505"/>
      <c r="T4" s="505"/>
      <c r="U4" s="505"/>
      <c r="V4" s="505"/>
      <c r="W4" s="505"/>
      <c r="X4" s="505"/>
      <c r="Y4" s="506"/>
    </row>
    <row r="5" spans="1:26" ht="38.25" customHeight="1" thickBot="1">
      <c r="A5" s="617"/>
      <c r="B5" s="484"/>
      <c r="C5" s="484"/>
      <c r="D5" s="484"/>
      <c r="E5" s="484"/>
      <c r="F5" s="484"/>
      <c r="G5" s="485"/>
      <c r="H5" s="483"/>
      <c r="I5" s="484"/>
      <c r="J5" s="484"/>
      <c r="K5" s="484"/>
      <c r="L5" s="484"/>
      <c r="M5" s="485"/>
      <c r="N5" s="483" t="s">
        <v>119</v>
      </c>
      <c r="O5" s="484"/>
      <c r="P5" s="484"/>
      <c r="Q5" s="484"/>
      <c r="R5" s="484"/>
      <c r="S5" s="485"/>
      <c r="T5" s="483" t="s">
        <v>120</v>
      </c>
      <c r="U5" s="484"/>
      <c r="V5" s="484"/>
      <c r="W5" s="484"/>
      <c r="X5" s="484"/>
      <c r="Y5" s="485"/>
    </row>
    <row r="6" spans="1:26" ht="27" customHeight="1" thickBot="1">
      <c r="A6" s="618"/>
      <c r="B6" s="504" t="s">
        <v>242</v>
      </c>
      <c r="C6" s="505"/>
      <c r="D6" s="635"/>
      <c r="E6" s="636" t="s">
        <v>243</v>
      </c>
      <c r="F6" s="637"/>
      <c r="G6" s="638"/>
      <c r="H6" s="639" t="s">
        <v>242</v>
      </c>
      <c r="I6" s="505"/>
      <c r="J6" s="635"/>
      <c r="K6" s="636" t="s">
        <v>243</v>
      </c>
      <c r="L6" s="637"/>
      <c r="M6" s="638"/>
      <c r="N6" s="639" t="s">
        <v>242</v>
      </c>
      <c r="O6" s="505"/>
      <c r="P6" s="635"/>
      <c r="Q6" s="636" t="s">
        <v>243</v>
      </c>
      <c r="R6" s="637"/>
      <c r="S6" s="638"/>
      <c r="T6" s="639" t="s">
        <v>242</v>
      </c>
      <c r="U6" s="505"/>
      <c r="V6" s="505"/>
      <c r="W6" s="642" t="s">
        <v>243</v>
      </c>
      <c r="X6" s="637"/>
      <c r="Y6" s="643"/>
    </row>
    <row r="7" spans="1:26" ht="24.95" customHeight="1">
      <c r="A7" s="175" t="s">
        <v>244</v>
      </c>
      <c r="B7" s="611">
        <f>COUNTIFS(HousingStatusAtEntry,1,LastEpisode,"Y")</f>
        <v>71</v>
      </c>
      <c r="C7" s="611"/>
      <c r="D7" s="612"/>
      <c r="E7" s="622">
        <f>IF($B$13&gt;0,(B7/$B$13),"-")</f>
        <v>0.45222929936305734</v>
      </c>
      <c r="F7" s="623"/>
      <c r="G7" s="624"/>
      <c r="H7" s="611">
        <f>COUNTIFS(HousingStatusAtEntry,1,LastEpisode,"Y",HouseholdTypePP,"HHNoKids")</f>
        <v>26</v>
      </c>
      <c r="I7" s="611"/>
      <c r="J7" s="612"/>
      <c r="K7" s="622">
        <f>IF($H$13&gt;0,(H7/$H$13),"-")</f>
        <v>0.35616438356164382</v>
      </c>
      <c r="L7" s="623"/>
      <c r="M7" s="624"/>
      <c r="N7" s="611">
        <f>COUNTIFS(HousingStatusAtEntry,1,LastEpisode,"Y",HouseholdTypePP,"AdultChild")</f>
        <v>0</v>
      </c>
      <c r="O7" s="611"/>
      <c r="P7" s="612"/>
      <c r="Q7" s="640" t="str">
        <f>IF($N$13&gt;0,(N7/$N$13),"-")</f>
        <v>-</v>
      </c>
      <c r="R7" s="629"/>
      <c r="S7" s="641"/>
      <c r="T7" s="611">
        <f>COUNTIFS(HousingStatusAtEntry,1,LastEpisode,"Y",HouseholdTypePP,"HHKidsOnly")</f>
        <v>19</v>
      </c>
      <c r="U7" s="611"/>
      <c r="V7" s="612"/>
      <c r="W7" s="628">
        <f>IF($T$13&gt;0,(T7/$T$13),"-")</f>
        <v>0.32758620689655171</v>
      </c>
      <c r="X7" s="629"/>
      <c r="Y7" s="630"/>
    </row>
    <row r="8" spans="1:26" ht="24.95" customHeight="1">
      <c r="A8" s="176" t="s">
        <v>1178</v>
      </c>
      <c r="B8" s="611">
        <f>COUNTIFS(HousingStatusAtEntry,2,LastEpisode,"Y")</f>
        <v>65</v>
      </c>
      <c r="C8" s="611"/>
      <c r="D8" s="612"/>
      <c r="E8" s="622">
        <f t="shared" ref="E8:E12" si="0">IF($B$13&gt;0,(B8/$B$13),"-")</f>
        <v>0.4140127388535032</v>
      </c>
      <c r="F8" s="623"/>
      <c r="G8" s="624"/>
      <c r="H8" s="611">
        <f>COUNTIFS(HousingStatusAtEntry,2,LastEpisode,"Y",HouseholdTypePP,"HHNoKids")</f>
        <v>36</v>
      </c>
      <c r="I8" s="611"/>
      <c r="J8" s="612"/>
      <c r="K8" s="622">
        <f t="shared" ref="K8:K12" si="1">IF($H$13&gt;0,(H8/$H$13),"-")</f>
        <v>0.49315068493150682</v>
      </c>
      <c r="L8" s="623"/>
      <c r="M8" s="624"/>
      <c r="N8" s="611">
        <f>COUNTIFS(HousingStatusAtEntry,2,LastEpisode,"Y",HouseholdTypePP,"AdultChild")</f>
        <v>0</v>
      </c>
      <c r="O8" s="611"/>
      <c r="P8" s="612"/>
      <c r="Q8" s="640" t="str">
        <f t="shared" ref="Q8:Q12" si="2">IF($N$13&gt;0,(N8/$N$13),"-")</f>
        <v>-</v>
      </c>
      <c r="R8" s="629"/>
      <c r="S8" s="641"/>
      <c r="T8" s="611">
        <f>COUNTIFS(HousingStatusAtEntry,2,LastEpisode,"Y",HouseholdTypePP,"HHKidsOnly")</f>
        <v>29</v>
      </c>
      <c r="U8" s="611"/>
      <c r="V8" s="612"/>
      <c r="W8" s="628">
        <f t="shared" ref="W8:W12" si="3">IF($T$13&gt;0,(T8/$T$13),"-")</f>
        <v>0.5</v>
      </c>
      <c r="X8" s="629"/>
      <c r="Y8" s="630"/>
    </row>
    <row r="9" spans="1:26" ht="24.95" customHeight="1">
      <c r="A9" s="176" t="s">
        <v>1134</v>
      </c>
      <c r="B9" s="611">
        <f>COUNTIFS(HousingStatusAtEntry,3,LastEpisode,"Y")</f>
        <v>20</v>
      </c>
      <c r="C9" s="611"/>
      <c r="D9" s="612"/>
      <c r="E9" s="622">
        <f t="shared" si="0"/>
        <v>0.12738853503184713</v>
      </c>
      <c r="F9" s="623"/>
      <c r="G9" s="624"/>
      <c r="H9" s="611">
        <f>COUNTIFS(HousingStatusAtEntry,3,LastEpisode,"Y",HouseholdTypePP,"HHNoKids")</f>
        <v>10</v>
      </c>
      <c r="I9" s="611"/>
      <c r="J9" s="612"/>
      <c r="K9" s="622">
        <f t="shared" si="1"/>
        <v>0.13698630136986301</v>
      </c>
      <c r="L9" s="623"/>
      <c r="M9" s="624"/>
      <c r="N9" s="611">
        <f>COUNTIFS(HousingStatusAtEntry,3,LastEpisode,"Y",HouseholdTypePP,"AdultChild")</f>
        <v>0</v>
      </c>
      <c r="O9" s="611"/>
      <c r="P9" s="612"/>
      <c r="Q9" s="640" t="str">
        <f t="shared" si="2"/>
        <v>-</v>
      </c>
      <c r="R9" s="629"/>
      <c r="S9" s="641"/>
      <c r="T9" s="611">
        <f>COUNTIFS(HousingStatusAtEntry,3,LastEpisode,"Y",HouseholdTypePP,"HHKidsOnly")</f>
        <v>10</v>
      </c>
      <c r="U9" s="611"/>
      <c r="V9" s="612"/>
      <c r="W9" s="628">
        <f t="shared" si="3"/>
        <v>0.17241379310344829</v>
      </c>
      <c r="X9" s="629"/>
      <c r="Y9" s="630"/>
    </row>
    <row r="10" spans="1:26" ht="24.95" customHeight="1">
      <c r="A10" s="177" t="s">
        <v>250</v>
      </c>
      <c r="B10" s="611">
        <f>COUNTIFS(HousingStatusAtEntry,4,LastEpisode,"Y")</f>
        <v>1</v>
      </c>
      <c r="C10" s="611"/>
      <c r="D10" s="612"/>
      <c r="E10" s="622">
        <f t="shared" si="0"/>
        <v>6.369426751592357E-3</v>
      </c>
      <c r="F10" s="623"/>
      <c r="G10" s="624"/>
      <c r="H10" s="611">
        <f>COUNTIFS(HousingStatusAtEntry,4,LastEpisode,"Y",HouseholdTypePP,"HHNoKids")</f>
        <v>1</v>
      </c>
      <c r="I10" s="611"/>
      <c r="J10" s="612"/>
      <c r="K10" s="622">
        <f t="shared" si="1"/>
        <v>1.3698630136986301E-2</v>
      </c>
      <c r="L10" s="623"/>
      <c r="M10" s="624"/>
      <c r="N10" s="611">
        <f>COUNTIFS(HousingStatusAtEntry,4,LastEpisode,"Y",HouseholdTypePP,"AdultChild")</f>
        <v>0</v>
      </c>
      <c r="O10" s="611"/>
      <c r="P10" s="612"/>
      <c r="Q10" s="640" t="str">
        <f t="shared" si="2"/>
        <v>-</v>
      </c>
      <c r="R10" s="629"/>
      <c r="S10" s="641"/>
      <c r="T10" s="611">
        <f>COUNTIFS(HousingStatusAtEntry,4,LastEpisode,"Y",HouseholdTypePP,"HHKidsOnly")</f>
        <v>0</v>
      </c>
      <c r="U10" s="611"/>
      <c r="V10" s="612"/>
      <c r="W10" s="628">
        <f t="shared" si="3"/>
        <v>0</v>
      </c>
      <c r="X10" s="629"/>
      <c r="Y10" s="630"/>
    </row>
    <row r="11" spans="1:26" ht="24.95" customHeight="1">
      <c r="A11" s="177" t="s">
        <v>1133</v>
      </c>
      <c r="B11" s="611">
        <f>COUNTIFS(HousingStatusAtEntry,"&gt;=8",LastEpisode,"Y")</f>
        <v>0</v>
      </c>
      <c r="C11" s="611"/>
      <c r="D11" s="612"/>
      <c r="E11" s="622">
        <f t="shared" si="0"/>
        <v>0</v>
      </c>
      <c r="F11" s="623"/>
      <c r="G11" s="624"/>
      <c r="H11" s="611">
        <f>COUNTIFS(HousingStatusAtEntry,"&gt;=8",LastEpisode,"Y",HouseholdTypePP,"HHNoKids")</f>
        <v>0</v>
      </c>
      <c r="I11" s="611"/>
      <c r="J11" s="612"/>
      <c r="K11" s="622">
        <f t="shared" si="1"/>
        <v>0</v>
      </c>
      <c r="L11" s="623"/>
      <c r="M11" s="624"/>
      <c r="N11" s="611">
        <f>COUNTIFS(HousingStatusAtEntry,"&gt;=8",LastEpisode,"Y",HouseholdTypePP,"AdultChild")</f>
        <v>0</v>
      </c>
      <c r="O11" s="611"/>
      <c r="P11" s="612"/>
      <c r="Q11" s="640" t="str">
        <f t="shared" si="2"/>
        <v>-</v>
      </c>
      <c r="R11" s="629"/>
      <c r="S11" s="641"/>
      <c r="T11" s="611">
        <f>COUNTIFS(HousingStatusAtEntry,"&gt;=8",LastEpisode,"Y",HouseholdTypePP,"HHKidsOnly")</f>
        <v>0</v>
      </c>
      <c r="U11" s="611"/>
      <c r="V11" s="612"/>
      <c r="W11" s="628">
        <f t="shared" si="3"/>
        <v>0</v>
      </c>
      <c r="X11" s="629"/>
      <c r="Y11" s="630"/>
    </row>
    <row r="12" spans="1:26" ht="24.95" customHeight="1" thickBot="1">
      <c r="A12" s="168" t="s">
        <v>253</v>
      </c>
      <c r="B12" s="611">
        <f>COUNTIFS(HousingStatusAtEntry,"",LastEpisode,"Y")</f>
        <v>0</v>
      </c>
      <c r="C12" s="611"/>
      <c r="D12" s="612"/>
      <c r="E12" s="622">
        <f t="shared" si="0"/>
        <v>0</v>
      </c>
      <c r="F12" s="623"/>
      <c r="G12" s="624"/>
      <c r="H12" s="611">
        <f>COUNTIFS(HousingStatusAtEntry,"",LastEpisode,"Y",HouseholdTypePP,"HHNoKids")</f>
        <v>0</v>
      </c>
      <c r="I12" s="611"/>
      <c r="J12" s="612"/>
      <c r="K12" s="622">
        <f t="shared" si="1"/>
        <v>0</v>
      </c>
      <c r="L12" s="623"/>
      <c r="M12" s="624"/>
      <c r="N12" s="611">
        <f>COUNTIFS(HousingStatusAtEntry,"",LastEpisode,"Y",HouseholdTypePP,"AdultChild")</f>
        <v>0</v>
      </c>
      <c r="O12" s="611"/>
      <c r="P12" s="612"/>
      <c r="Q12" s="640" t="str">
        <f t="shared" si="2"/>
        <v>-</v>
      </c>
      <c r="R12" s="629"/>
      <c r="S12" s="641"/>
      <c r="T12" s="611">
        <f>COUNTIFS(HousingStatusAtEntry,"",LastEpisode,"Y",HouseholdTypePP,"HHKidsOnly")</f>
        <v>0</v>
      </c>
      <c r="U12" s="611"/>
      <c r="V12" s="612"/>
      <c r="W12" s="628">
        <f t="shared" si="3"/>
        <v>0</v>
      </c>
      <c r="X12" s="629"/>
      <c r="Y12" s="630"/>
    </row>
    <row r="13" spans="1:26" ht="24.95" customHeight="1" thickBot="1">
      <c r="A13" s="174" t="s">
        <v>116</v>
      </c>
      <c r="B13" s="613">
        <f>SUM(B7:B12)</f>
        <v>157</v>
      </c>
      <c r="C13" s="614"/>
      <c r="D13" s="615"/>
      <c r="E13" s="625">
        <v>1</v>
      </c>
      <c r="F13" s="626"/>
      <c r="G13" s="627"/>
      <c r="H13" s="613">
        <f>SUM(H7:H12)</f>
        <v>73</v>
      </c>
      <c r="I13" s="614"/>
      <c r="J13" s="615"/>
      <c r="K13" s="625">
        <v>1</v>
      </c>
      <c r="L13" s="626"/>
      <c r="M13" s="627"/>
      <c r="N13" s="613">
        <f>SUM(N7:N12)</f>
        <v>0</v>
      </c>
      <c r="O13" s="614"/>
      <c r="P13" s="615"/>
      <c r="Q13" s="625">
        <v>1</v>
      </c>
      <c r="R13" s="626"/>
      <c r="S13" s="627"/>
      <c r="T13" s="613">
        <f>SUM(T7:T12)</f>
        <v>58</v>
      </c>
      <c r="U13" s="614"/>
      <c r="V13" s="614"/>
      <c r="W13" s="644">
        <v>1</v>
      </c>
      <c r="X13" s="626"/>
      <c r="Y13" s="645"/>
    </row>
    <row r="14" spans="1:26" ht="18" customHeight="1" thickBot="1"/>
    <row r="15" spans="1:26" ht="15" customHeight="1">
      <c r="A15" s="660" t="s">
        <v>255</v>
      </c>
      <c r="B15" s="661"/>
      <c r="C15" s="661"/>
      <c r="D15" s="661"/>
      <c r="E15" s="661"/>
      <c r="F15" s="661"/>
      <c r="G15" s="661"/>
      <c r="H15" s="661"/>
      <c r="I15" s="661"/>
      <c r="J15" s="661"/>
      <c r="K15" s="661"/>
      <c r="L15" s="661"/>
      <c r="M15" s="661"/>
      <c r="N15" s="661"/>
      <c r="O15" s="661"/>
      <c r="P15" s="661"/>
      <c r="Q15" s="661"/>
      <c r="R15" s="661"/>
      <c r="S15" s="661"/>
      <c r="T15" s="661"/>
      <c r="U15" s="661"/>
      <c r="V15" s="661"/>
      <c r="W15" s="661"/>
      <c r="X15" s="661"/>
      <c r="Y15" s="662"/>
    </row>
    <row r="16" spans="1:26" ht="15" customHeight="1">
      <c r="A16" s="663" t="s">
        <v>237</v>
      </c>
      <c r="B16" s="664"/>
      <c r="C16" s="664"/>
      <c r="D16" s="664"/>
      <c r="E16" s="664"/>
      <c r="F16" s="664"/>
      <c r="G16" s="664"/>
      <c r="H16" s="664"/>
      <c r="I16" s="664"/>
      <c r="J16" s="664"/>
      <c r="K16" s="664"/>
      <c r="L16" s="664"/>
      <c r="M16" s="664"/>
      <c r="N16" s="664"/>
      <c r="O16" s="664"/>
      <c r="P16" s="664"/>
      <c r="Q16" s="664"/>
      <c r="R16" s="664"/>
      <c r="S16" s="664"/>
      <c r="T16" s="664"/>
      <c r="U16" s="664"/>
      <c r="V16" s="664"/>
      <c r="W16" s="664"/>
      <c r="X16" s="664"/>
      <c r="Y16" s="665"/>
    </row>
    <row r="17" spans="1:26" ht="15" customHeight="1" thickBot="1">
      <c r="A17" s="666" t="s">
        <v>256</v>
      </c>
      <c r="B17" s="667"/>
      <c r="C17" s="667"/>
      <c r="D17" s="667"/>
      <c r="E17" s="667"/>
      <c r="F17" s="667"/>
      <c r="G17" s="667"/>
      <c r="H17" s="667"/>
      <c r="I17" s="667"/>
      <c r="J17" s="667"/>
      <c r="K17" s="667"/>
      <c r="L17" s="667"/>
      <c r="M17" s="667"/>
      <c r="N17" s="667"/>
      <c r="O17" s="667"/>
      <c r="P17" s="667"/>
      <c r="Q17" s="667"/>
      <c r="R17" s="667"/>
      <c r="S17" s="667"/>
      <c r="T17" s="667"/>
      <c r="U17" s="667"/>
      <c r="V17" s="667"/>
      <c r="W17" s="667"/>
      <c r="X17" s="667"/>
      <c r="Y17" s="668"/>
    </row>
    <row r="18" spans="1:26" ht="15.75" customHeight="1" thickBot="1">
      <c r="A18" s="656" t="s">
        <v>264</v>
      </c>
      <c r="B18" s="619" t="s">
        <v>257</v>
      </c>
      <c r="C18" s="620"/>
      <c r="D18" s="620"/>
      <c r="E18" s="620"/>
      <c r="F18" s="620"/>
      <c r="G18" s="620"/>
      <c r="H18" s="620"/>
      <c r="I18" s="620"/>
      <c r="J18" s="619" t="s">
        <v>258</v>
      </c>
      <c r="K18" s="620"/>
      <c r="L18" s="620"/>
      <c r="M18" s="620"/>
      <c r="N18" s="620"/>
      <c r="O18" s="620"/>
      <c r="P18" s="620"/>
      <c r="Q18" s="621"/>
      <c r="R18" s="483" t="s">
        <v>259</v>
      </c>
      <c r="S18" s="484"/>
      <c r="T18" s="484"/>
      <c r="U18" s="484"/>
      <c r="V18" s="484"/>
      <c r="W18" s="484"/>
      <c r="X18" s="484"/>
      <c r="Y18" s="485"/>
    </row>
    <row r="19" spans="1:26" ht="29.25" customHeight="1" thickBot="1">
      <c r="A19" s="656"/>
      <c r="B19" s="504" t="s">
        <v>260</v>
      </c>
      <c r="C19" s="505"/>
      <c r="D19" s="505"/>
      <c r="E19" s="506"/>
      <c r="F19" s="504" t="s">
        <v>261</v>
      </c>
      <c r="G19" s="505"/>
      <c r="H19" s="505"/>
      <c r="I19" s="506"/>
      <c r="J19" s="504" t="s">
        <v>260</v>
      </c>
      <c r="K19" s="505"/>
      <c r="L19" s="505"/>
      <c r="M19" s="506"/>
      <c r="N19" s="504" t="s">
        <v>261</v>
      </c>
      <c r="O19" s="505"/>
      <c r="P19" s="505"/>
      <c r="Q19" s="506"/>
      <c r="R19" s="504" t="s">
        <v>260</v>
      </c>
      <c r="S19" s="505"/>
      <c r="T19" s="505"/>
      <c r="U19" s="506"/>
      <c r="V19" s="504" t="s">
        <v>261</v>
      </c>
      <c r="W19" s="505"/>
      <c r="X19" s="505"/>
      <c r="Y19" s="506"/>
    </row>
    <row r="20" spans="1:26" ht="49.5" customHeight="1" thickBot="1">
      <c r="A20" s="656"/>
      <c r="B20" s="504" t="s">
        <v>1108</v>
      </c>
      <c r="C20" s="506"/>
      <c r="D20" s="504" t="s">
        <v>263</v>
      </c>
      <c r="E20" s="506"/>
      <c r="F20" s="504" t="s">
        <v>1108</v>
      </c>
      <c r="G20" s="506"/>
      <c r="H20" s="504" t="s">
        <v>263</v>
      </c>
      <c r="I20" s="505"/>
      <c r="J20" s="504" t="s">
        <v>1108</v>
      </c>
      <c r="K20" s="506"/>
      <c r="L20" s="504" t="s">
        <v>263</v>
      </c>
      <c r="M20" s="506"/>
      <c r="N20" s="504" t="s">
        <v>1108</v>
      </c>
      <c r="O20" s="506"/>
      <c r="P20" s="504" t="s">
        <v>263</v>
      </c>
      <c r="Q20" s="505"/>
      <c r="R20" s="504" t="s">
        <v>1108</v>
      </c>
      <c r="S20" s="506"/>
      <c r="T20" s="504" t="s">
        <v>263</v>
      </c>
      <c r="U20" s="506"/>
      <c r="V20" s="504" t="s">
        <v>1108</v>
      </c>
      <c r="W20" s="506"/>
      <c r="X20" s="504" t="s">
        <v>263</v>
      </c>
      <c r="Y20" s="506"/>
      <c r="Z20" t="s">
        <v>1206</v>
      </c>
    </row>
    <row r="21" spans="1:26" ht="15" customHeight="1" thickBot="1">
      <c r="A21" s="656"/>
      <c r="B21" s="619" t="s">
        <v>265</v>
      </c>
      <c r="C21" s="621"/>
      <c r="D21" s="619" t="s">
        <v>266</v>
      </c>
      <c r="E21" s="621"/>
      <c r="F21" s="619" t="s">
        <v>267</v>
      </c>
      <c r="G21" s="621"/>
      <c r="H21" s="619" t="s">
        <v>268</v>
      </c>
      <c r="I21" s="621"/>
      <c r="J21" s="619" t="s">
        <v>269</v>
      </c>
      <c r="K21" s="621"/>
      <c r="L21" s="619" t="s">
        <v>270</v>
      </c>
      <c r="M21" s="621"/>
      <c r="N21" s="619" t="s">
        <v>271</v>
      </c>
      <c r="O21" s="621"/>
      <c r="P21" s="619" t="s">
        <v>272</v>
      </c>
      <c r="Q21" s="621"/>
      <c r="R21" s="619" t="s">
        <v>273</v>
      </c>
      <c r="S21" s="621"/>
      <c r="T21" s="619" t="s">
        <v>274</v>
      </c>
      <c r="U21" s="621"/>
      <c r="V21" s="619" t="s">
        <v>275</v>
      </c>
      <c r="W21" s="621"/>
      <c r="X21" s="619" t="s">
        <v>276</v>
      </c>
      <c r="Y21" s="621"/>
    </row>
    <row r="22" spans="1:26" ht="15.75" thickBot="1">
      <c r="A22" s="657" t="s">
        <v>277</v>
      </c>
      <c r="B22" s="658"/>
      <c r="C22" s="658"/>
      <c r="D22" s="658"/>
      <c r="E22" s="658"/>
      <c r="F22" s="658"/>
      <c r="G22" s="658"/>
      <c r="H22" s="658"/>
      <c r="I22" s="658"/>
      <c r="J22" s="658"/>
      <c r="K22" s="658"/>
      <c r="L22" s="658"/>
      <c r="M22" s="658"/>
      <c r="N22" s="658"/>
      <c r="O22" s="658"/>
      <c r="P22" s="658"/>
      <c r="Q22" s="658"/>
      <c r="R22" s="658"/>
      <c r="S22" s="658"/>
      <c r="T22" s="658"/>
      <c r="U22" s="658"/>
      <c r="V22" s="658"/>
      <c r="W22" s="658"/>
      <c r="X22" s="658"/>
      <c r="Y22" s="659"/>
    </row>
    <row r="23" spans="1:26" ht="15" customHeight="1">
      <c r="A23" s="170" t="s">
        <v>278</v>
      </c>
      <c r="B23" s="633" t="s">
        <v>279</v>
      </c>
      <c r="C23" s="634"/>
      <c r="D23" s="633" t="s">
        <v>280</v>
      </c>
      <c r="E23" s="634"/>
      <c r="F23" s="633" t="s">
        <v>281</v>
      </c>
      <c r="G23" s="634"/>
      <c r="H23" s="633" t="s">
        <v>282</v>
      </c>
      <c r="I23" s="634"/>
      <c r="J23" s="633" t="s">
        <v>283</v>
      </c>
      <c r="K23" s="611"/>
      <c r="L23" s="652" t="s">
        <v>284</v>
      </c>
      <c r="M23" s="653"/>
      <c r="N23" s="611" t="s">
        <v>285</v>
      </c>
      <c r="O23" s="634"/>
      <c r="P23" s="633" t="s">
        <v>286</v>
      </c>
      <c r="Q23" s="634"/>
      <c r="R23" s="646" t="s">
        <v>287</v>
      </c>
      <c r="S23" s="647"/>
      <c r="T23" s="646" t="s">
        <v>288</v>
      </c>
      <c r="U23" s="647"/>
      <c r="V23" s="646" t="s">
        <v>289</v>
      </c>
      <c r="W23" s="647"/>
      <c r="X23" s="646" t="s">
        <v>290</v>
      </c>
      <c r="Y23" s="647"/>
    </row>
    <row r="24" spans="1:26" ht="15" customHeight="1">
      <c r="A24" s="170" t="s">
        <v>1106</v>
      </c>
      <c r="B24" s="633" t="s">
        <v>291</v>
      </c>
      <c r="C24" s="634"/>
      <c r="D24" s="633" t="s">
        <v>292</v>
      </c>
      <c r="E24" s="634"/>
      <c r="F24" s="633" t="s">
        <v>293</v>
      </c>
      <c r="G24" s="634"/>
      <c r="H24" s="633" t="s">
        <v>294</v>
      </c>
      <c r="I24" s="634"/>
      <c r="J24" s="633" t="s">
        <v>295</v>
      </c>
      <c r="K24" s="611"/>
      <c r="L24" s="633" t="s">
        <v>296</v>
      </c>
      <c r="M24" s="634"/>
      <c r="N24" s="611" t="s">
        <v>297</v>
      </c>
      <c r="O24" s="634"/>
      <c r="P24" s="633" t="s">
        <v>298</v>
      </c>
      <c r="Q24" s="634"/>
      <c r="R24" s="646" t="s">
        <v>299</v>
      </c>
      <c r="S24" s="647"/>
      <c r="T24" s="646" t="s">
        <v>300</v>
      </c>
      <c r="U24" s="647"/>
      <c r="V24" s="646" t="s">
        <v>301</v>
      </c>
      <c r="W24" s="647"/>
      <c r="X24" s="646" t="s">
        <v>302</v>
      </c>
      <c r="Y24" s="647"/>
    </row>
    <row r="25" spans="1:26" ht="15" customHeight="1">
      <c r="A25" s="171" t="s">
        <v>303</v>
      </c>
      <c r="B25" s="633" t="s">
        <v>304</v>
      </c>
      <c r="C25" s="634"/>
      <c r="D25" s="633" t="s">
        <v>305</v>
      </c>
      <c r="E25" s="634"/>
      <c r="F25" s="633" t="s">
        <v>306</v>
      </c>
      <c r="G25" s="634"/>
      <c r="H25" s="633" t="s">
        <v>307</v>
      </c>
      <c r="I25" s="634"/>
      <c r="J25" s="633" t="s">
        <v>308</v>
      </c>
      <c r="K25" s="611"/>
      <c r="L25" s="633" t="s">
        <v>309</v>
      </c>
      <c r="M25" s="634"/>
      <c r="N25" s="611" t="s">
        <v>310</v>
      </c>
      <c r="O25" s="634"/>
      <c r="P25" s="633" t="s">
        <v>311</v>
      </c>
      <c r="Q25" s="634"/>
      <c r="R25" s="646" t="s">
        <v>312</v>
      </c>
      <c r="S25" s="647"/>
      <c r="T25" s="646" t="s">
        <v>313</v>
      </c>
      <c r="U25" s="647"/>
      <c r="V25" s="646" t="s">
        <v>314</v>
      </c>
      <c r="W25" s="647"/>
      <c r="X25" s="646" t="s">
        <v>315</v>
      </c>
      <c r="Y25" s="647"/>
    </row>
    <row r="26" spans="1:26" ht="15" customHeight="1">
      <c r="A26" s="171" t="s">
        <v>316</v>
      </c>
      <c r="B26" s="633" t="s">
        <v>317</v>
      </c>
      <c r="C26" s="634"/>
      <c r="D26" s="633" t="s">
        <v>318</v>
      </c>
      <c r="E26" s="634"/>
      <c r="F26" s="633" t="s">
        <v>319</v>
      </c>
      <c r="G26" s="634"/>
      <c r="H26" s="633" t="s">
        <v>320</v>
      </c>
      <c r="I26" s="634"/>
      <c r="J26" s="633" t="s">
        <v>321</v>
      </c>
      <c r="K26" s="611"/>
      <c r="L26" s="633" t="s">
        <v>322</v>
      </c>
      <c r="M26" s="634"/>
      <c r="N26" s="611" t="s">
        <v>323</v>
      </c>
      <c r="O26" s="634"/>
      <c r="P26" s="633" t="s">
        <v>324</v>
      </c>
      <c r="Q26" s="634"/>
      <c r="R26" s="646" t="s">
        <v>325</v>
      </c>
      <c r="S26" s="647"/>
      <c r="T26" s="646" t="s">
        <v>326</v>
      </c>
      <c r="U26" s="647"/>
      <c r="V26" s="646" t="s">
        <v>327</v>
      </c>
      <c r="W26" s="647"/>
      <c r="X26" s="646" t="s">
        <v>328</v>
      </c>
      <c r="Y26" s="647"/>
    </row>
    <row r="27" spans="1:26" ht="15" customHeight="1" thickBot="1">
      <c r="A27" s="171" t="s">
        <v>329</v>
      </c>
      <c r="B27" s="633" t="s">
        <v>330</v>
      </c>
      <c r="C27" s="634"/>
      <c r="D27" s="633" t="s">
        <v>331</v>
      </c>
      <c r="E27" s="634"/>
      <c r="F27" s="633" t="s">
        <v>332</v>
      </c>
      <c r="G27" s="634"/>
      <c r="H27" s="633" t="s">
        <v>333</v>
      </c>
      <c r="I27" s="634"/>
      <c r="J27" s="633" t="s">
        <v>334</v>
      </c>
      <c r="K27" s="611"/>
      <c r="L27" s="633" t="s">
        <v>335</v>
      </c>
      <c r="M27" s="634"/>
      <c r="N27" s="611" t="s">
        <v>336</v>
      </c>
      <c r="O27" s="634"/>
      <c r="P27" s="633" t="s">
        <v>337</v>
      </c>
      <c r="Q27" s="634"/>
      <c r="R27" s="646" t="s">
        <v>338</v>
      </c>
      <c r="S27" s="647"/>
      <c r="T27" s="646" t="s">
        <v>339</v>
      </c>
      <c r="U27" s="647"/>
      <c r="V27" s="646" t="s">
        <v>340</v>
      </c>
      <c r="W27" s="647"/>
      <c r="X27" s="646" t="s">
        <v>341</v>
      </c>
      <c r="Y27" s="647"/>
    </row>
    <row r="28" spans="1:26" ht="15" customHeight="1" thickBot="1">
      <c r="A28" s="173" t="s">
        <v>56</v>
      </c>
      <c r="B28" s="631" t="s">
        <v>342</v>
      </c>
      <c r="C28" s="632"/>
      <c r="D28" s="631" t="s">
        <v>343</v>
      </c>
      <c r="E28" s="632"/>
      <c r="F28" s="631" t="s">
        <v>344</v>
      </c>
      <c r="G28" s="632"/>
      <c r="H28" s="631" t="s">
        <v>345</v>
      </c>
      <c r="I28" s="632"/>
      <c r="J28" s="669" t="s">
        <v>346</v>
      </c>
      <c r="K28" s="670"/>
      <c r="L28" s="669" t="s">
        <v>347</v>
      </c>
      <c r="M28" s="671"/>
      <c r="N28" s="670" t="s">
        <v>348</v>
      </c>
      <c r="O28" s="671"/>
      <c r="P28" s="669" t="s">
        <v>349</v>
      </c>
      <c r="Q28" s="671"/>
      <c r="R28" s="650" t="s">
        <v>350</v>
      </c>
      <c r="S28" s="651"/>
      <c r="T28" s="650" t="s">
        <v>351</v>
      </c>
      <c r="U28" s="651"/>
      <c r="V28" s="650" t="s">
        <v>352</v>
      </c>
      <c r="W28" s="651"/>
      <c r="X28" s="650" t="s">
        <v>353</v>
      </c>
      <c r="Y28" s="651"/>
    </row>
    <row r="29" spans="1:26" ht="15" customHeight="1" thickBot="1">
      <c r="A29" s="657" t="s">
        <v>354</v>
      </c>
      <c r="B29" s="658"/>
      <c r="C29" s="658"/>
      <c r="D29" s="658"/>
      <c r="E29" s="658"/>
      <c r="F29" s="658"/>
      <c r="G29" s="658"/>
      <c r="H29" s="658"/>
      <c r="I29" s="658"/>
      <c r="J29" s="658"/>
      <c r="K29" s="658"/>
      <c r="L29" s="658"/>
      <c r="M29" s="658"/>
      <c r="N29" s="658"/>
      <c r="O29" s="658"/>
      <c r="P29" s="658"/>
      <c r="Q29" s="658"/>
      <c r="R29" s="658"/>
      <c r="S29" s="658"/>
      <c r="T29" s="658"/>
      <c r="U29" s="658"/>
      <c r="V29" s="658"/>
      <c r="W29" s="658"/>
      <c r="X29" s="658"/>
      <c r="Y29" s="659"/>
    </row>
    <row r="30" spans="1:26" ht="15" customHeight="1">
      <c r="A30" s="171" t="s">
        <v>355</v>
      </c>
      <c r="B30" s="633" t="s">
        <v>356</v>
      </c>
      <c r="C30" s="634"/>
      <c r="D30" s="633" t="s">
        <v>357</v>
      </c>
      <c r="E30" s="611"/>
      <c r="F30" s="652" t="s">
        <v>358</v>
      </c>
      <c r="G30" s="653"/>
      <c r="H30" s="611" t="s">
        <v>359</v>
      </c>
      <c r="I30" s="634"/>
      <c r="J30" s="633" t="s">
        <v>360</v>
      </c>
      <c r="K30" s="611"/>
      <c r="L30" s="652" t="s">
        <v>361</v>
      </c>
      <c r="M30" s="653"/>
      <c r="N30" s="611" t="s">
        <v>362</v>
      </c>
      <c r="O30" s="634"/>
      <c r="P30" s="633" t="s">
        <v>363</v>
      </c>
      <c r="Q30" s="634"/>
      <c r="R30" s="646" t="s">
        <v>364</v>
      </c>
      <c r="S30" s="647"/>
      <c r="T30" s="646" t="s">
        <v>365</v>
      </c>
      <c r="U30" s="647"/>
      <c r="V30" s="646" t="s">
        <v>366</v>
      </c>
      <c r="W30" s="647"/>
      <c r="X30" s="646" t="s">
        <v>367</v>
      </c>
      <c r="Y30" s="647"/>
    </row>
    <row r="31" spans="1:26" ht="15" customHeight="1">
      <c r="A31" s="171" t="s">
        <v>1105</v>
      </c>
      <c r="B31" s="633" t="s">
        <v>369</v>
      </c>
      <c r="C31" s="634"/>
      <c r="D31" s="633" t="s">
        <v>370</v>
      </c>
      <c r="E31" s="611"/>
      <c r="F31" s="633" t="s">
        <v>371</v>
      </c>
      <c r="G31" s="634"/>
      <c r="H31" s="611" t="s">
        <v>372</v>
      </c>
      <c r="I31" s="634"/>
      <c r="J31" s="633" t="s">
        <v>373</v>
      </c>
      <c r="K31" s="611"/>
      <c r="L31" s="633" t="s">
        <v>374</v>
      </c>
      <c r="M31" s="634"/>
      <c r="N31" s="611" t="s">
        <v>375</v>
      </c>
      <c r="O31" s="634"/>
      <c r="P31" s="633" t="s">
        <v>376</v>
      </c>
      <c r="Q31" s="634"/>
      <c r="R31" s="646" t="s">
        <v>377</v>
      </c>
      <c r="S31" s="647"/>
      <c r="T31" s="646" t="s">
        <v>378</v>
      </c>
      <c r="U31" s="647"/>
      <c r="V31" s="646" t="s">
        <v>379</v>
      </c>
      <c r="W31" s="647"/>
      <c r="X31" s="646" t="s">
        <v>380</v>
      </c>
      <c r="Y31" s="647"/>
    </row>
    <row r="32" spans="1:26" ht="15" customHeight="1">
      <c r="A32" s="171" t="s">
        <v>1107</v>
      </c>
      <c r="B32" s="633" t="s">
        <v>381</v>
      </c>
      <c r="C32" s="634"/>
      <c r="D32" s="633" t="s">
        <v>382</v>
      </c>
      <c r="E32" s="611"/>
      <c r="F32" s="633" t="s">
        <v>383</v>
      </c>
      <c r="G32" s="634"/>
      <c r="H32" s="611" t="s">
        <v>384</v>
      </c>
      <c r="I32" s="634"/>
      <c r="J32" s="633" t="s">
        <v>385</v>
      </c>
      <c r="K32" s="611"/>
      <c r="L32" s="633" t="s">
        <v>386</v>
      </c>
      <c r="M32" s="634"/>
      <c r="N32" s="611" t="s">
        <v>387</v>
      </c>
      <c r="O32" s="634"/>
      <c r="P32" s="633" t="s">
        <v>388</v>
      </c>
      <c r="Q32" s="634"/>
      <c r="R32" s="646" t="s">
        <v>389</v>
      </c>
      <c r="S32" s="647"/>
      <c r="T32" s="646" t="s">
        <v>390</v>
      </c>
      <c r="U32" s="647"/>
      <c r="V32" s="646" t="s">
        <v>391</v>
      </c>
      <c r="W32" s="647"/>
      <c r="X32" s="646" t="s">
        <v>392</v>
      </c>
      <c r="Y32" s="647"/>
    </row>
    <row r="33" spans="1:25" ht="15" customHeight="1">
      <c r="A33" s="171" t="s">
        <v>393</v>
      </c>
      <c r="B33" s="633" t="s">
        <v>394</v>
      </c>
      <c r="C33" s="634"/>
      <c r="D33" s="633" t="s">
        <v>395</v>
      </c>
      <c r="E33" s="611"/>
      <c r="F33" s="633" t="s">
        <v>396</v>
      </c>
      <c r="G33" s="634"/>
      <c r="H33" s="611" t="s">
        <v>397</v>
      </c>
      <c r="I33" s="634"/>
      <c r="J33" s="633" t="s">
        <v>398</v>
      </c>
      <c r="K33" s="611"/>
      <c r="L33" s="633" t="s">
        <v>399</v>
      </c>
      <c r="M33" s="634"/>
      <c r="N33" s="611" t="s">
        <v>400</v>
      </c>
      <c r="O33" s="634"/>
      <c r="P33" s="633" t="s">
        <v>401</v>
      </c>
      <c r="Q33" s="634"/>
      <c r="R33" s="646" t="s">
        <v>402</v>
      </c>
      <c r="S33" s="647"/>
      <c r="T33" s="646" t="s">
        <v>403</v>
      </c>
      <c r="U33" s="647"/>
      <c r="V33" s="646" t="s">
        <v>404</v>
      </c>
      <c r="W33" s="647"/>
      <c r="X33" s="646" t="s">
        <v>405</v>
      </c>
      <c r="Y33" s="647"/>
    </row>
    <row r="34" spans="1:25" ht="15" customHeight="1" thickBot="1">
      <c r="A34" s="171" t="s">
        <v>406</v>
      </c>
      <c r="B34" s="633" t="s">
        <v>407</v>
      </c>
      <c r="C34" s="634"/>
      <c r="D34" s="633" t="s">
        <v>408</v>
      </c>
      <c r="E34" s="611"/>
      <c r="F34" s="654" t="s">
        <v>409</v>
      </c>
      <c r="G34" s="655"/>
      <c r="H34" s="611" t="s">
        <v>410</v>
      </c>
      <c r="I34" s="634"/>
      <c r="J34" s="633" t="s">
        <v>411</v>
      </c>
      <c r="K34" s="611"/>
      <c r="L34" s="654" t="s">
        <v>412</v>
      </c>
      <c r="M34" s="655"/>
      <c r="N34" s="611" t="s">
        <v>413</v>
      </c>
      <c r="O34" s="634"/>
      <c r="P34" s="633" t="s">
        <v>414</v>
      </c>
      <c r="Q34" s="634"/>
      <c r="R34" s="646" t="s">
        <v>415</v>
      </c>
      <c r="S34" s="647"/>
      <c r="T34" s="646" t="s">
        <v>416</v>
      </c>
      <c r="U34" s="647"/>
      <c r="V34" s="646" t="s">
        <v>417</v>
      </c>
      <c r="W34" s="647"/>
      <c r="X34" s="646" t="s">
        <v>418</v>
      </c>
      <c r="Y34" s="647"/>
    </row>
    <row r="35" spans="1:25" ht="15.75" customHeight="1" thickBot="1">
      <c r="A35" s="172" t="s">
        <v>56</v>
      </c>
      <c r="B35" s="631" t="s">
        <v>419</v>
      </c>
      <c r="C35" s="632"/>
      <c r="D35" s="631" t="s">
        <v>420</v>
      </c>
      <c r="E35" s="632"/>
      <c r="F35" s="631" t="s">
        <v>421</v>
      </c>
      <c r="G35" s="632"/>
      <c r="H35" s="631" t="s">
        <v>422</v>
      </c>
      <c r="I35" s="632"/>
      <c r="J35" s="631" t="s">
        <v>423</v>
      </c>
      <c r="K35" s="632"/>
      <c r="L35" s="631" t="s">
        <v>424</v>
      </c>
      <c r="M35" s="632"/>
      <c r="N35" s="631" t="s">
        <v>425</v>
      </c>
      <c r="O35" s="632"/>
      <c r="P35" s="631" t="s">
        <v>426</v>
      </c>
      <c r="Q35" s="632"/>
      <c r="R35" s="648" t="s">
        <v>427</v>
      </c>
      <c r="S35" s="649"/>
      <c r="T35" s="648" t="s">
        <v>428</v>
      </c>
      <c r="U35" s="649"/>
      <c r="V35" s="648" t="s">
        <v>429</v>
      </c>
      <c r="W35" s="649"/>
      <c r="X35" s="648" t="s">
        <v>430</v>
      </c>
      <c r="Y35" s="649"/>
    </row>
  </sheetData>
  <mergeCells count="256">
    <mergeCell ref="A18:A21"/>
    <mergeCell ref="A22:Y22"/>
    <mergeCell ref="A29:Y29"/>
    <mergeCell ref="N4:Y4"/>
    <mergeCell ref="A15:Y15"/>
    <mergeCell ref="A16:Y16"/>
    <mergeCell ref="A17:Y17"/>
    <mergeCell ref="A1:Y1"/>
    <mergeCell ref="A2:Y2"/>
    <mergeCell ref="A3:Y3"/>
    <mergeCell ref="R27:S27"/>
    <mergeCell ref="T27:U27"/>
    <mergeCell ref="V27:W27"/>
    <mergeCell ref="B28:C28"/>
    <mergeCell ref="D28:E28"/>
    <mergeCell ref="F28:G28"/>
    <mergeCell ref="H28:I28"/>
    <mergeCell ref="J28:K28"/>
    <mergeCell ref="L28:M28"/>
    <mergeCell ref="N28:O28"/>
    <mergeCell ref="P28:Q28"/>
    <mergeCell ref="R28:S28"/>
    <mergeCell ref="T28:U28"/>
    <mergeCell ref="V28:W28"/>
    <mergeCell ref="N35:O35"/>
    <mergeCell ref="P35:Q35"/>
    <mergeCell ref="R35:S35"/>
    <mergeCell ref="T35:U35"/>
    <mergeCell ref="V35:W35"/>
    <mergeCell ref="D35:E35"/>
    <mergeCell ref="F35:G35"/>
    <mergeCell ref="H35:I35"/>
    <mergeCell ref="J35:K35"/>
    <mergeCell ref="L35:M35"/>
    <mergeCell ref="N34:O34"/>
    <mergeCell ref="P34:Q34"/>
    <mergeCell ref="R34:S34"/>
    <mergeCell ref="T34:U34"/>
    <mergeCell ref="V34:W34"/>
    <mergeCell ref="D34:E34"/>
    <mergeCell ref="F34:G34"/>
    <mergeCell ref="H34:I34"/>
    <mergeCell ref="J34:K34"/>
    <mergeCell ref="L34:M34"/>
    <mergeCell ref="N33:O33"/>
    <mergeCell ref="P33:Q33"/>
    <mergeCell ref="R33:S33"/>
    <mergeCell ref="T33:U33"/>
    <mergeCell ref="V33:W33"/>
    <mergeCell ref="D33:E33"/>
    <mergeCell ref="F33:G33"/>
    <mergeCell ref="H33:I33"/>
    <mergeCell ref="J33:K33"/>
    <mergeCell ref="L33:M33"/>
    <mergeCell ref="V31:W31"/>
    <mergeCell ref="D31:E31"/>
    <mergeCell ref="F31:G31"/>
    <mergeCell ref="H31:I31"/>
    <mergeCell ref="J31:K31"/>
    <mergeCell ref="L31:M31"/>
    <mergeCell ref="N32:O32"/>
    <mergeCell ref="P32:Q32"/>
    <mergeCell ref="R32:S32"/>
    <mergeCell ref="T32:U32"/>
    <mergeCell ref="V32:W32"/>
    <mergeCell ref="D32:E32"/>
    <mergeCell ref="F32:G32"/>
    <mergeCell ref="H32:I32"/>
    <mergeCell ref="J32:K32"/>
    <mergeCell ref="L32:M32"/>
    <mergeCell ref="D30:E30"/>
    <mergeCell ref="F30:G30"/>
    <mergeCell ref="H30:I30"/>
    <mergeCell ref="J30:K30"/>
    <mergeCell ref="L30:M30"/>
    <mergeCell ref="N31:O31"/>
    <mergeCell ref="P31:Q31"/>
    <mergeCell ref="R31:S31"/>
    <mergeCell ref="T31:U31"/>
    <mergeCell ref="T26:U26"/>
    <mergeCell ref="V26:W26"/>
    <mergeCell ref="J25:K25"/>
    <mergeCell ref="L25:M25"/>
    <mergeCell ref="N25:O25"/>
    <mergeCell ref="P25:Q25"/>
    <mergeCell ref="R25:S25"/>
    <mergeCell ref="N30:O30"/>
    <mergeCell ref="P30:Q30"/>
    <mergeCell ref="R30:S30"/>
    <mergeCell ref="T30:U30"/>
    <mergeCell ref="V30:W30"/>
    <mergeCell ref="B26:C26"/>
    <mergeCell ref="D26:E26"/>
    <mergeCell ref="F26:G26"/>
    <mergeCell ref="H26:I26"/>
    <mergeCell ref="J26:K26"/>
    <mergeCell ref="L26:M26"/>
    <mergeCell ref="N26:O26"/>
    <mergeCell ref="P26:Q26"/>
    <mergeCell ref="R26:S26"/>
    <mergeCell ref="J23:K23"/>
    <mergeCell ref="L23:M23"/>
    <mergeCell ref="N23:O23"/>
    <mergeCell ref="P23:Q23"/>
    <mergeCell ref="R23:S23"/>
    <mergeCell ref="H27:I27"/>
    <mergeCell ref="J27:K27"/>
    <mergeCell ref="L27:M27"/>
    <mergeCell ref="N27:O27"/>
    <mergeCell ref="P27:Q27"/>
    <mergeCell ref="F24:G24"/>
    <mergeCell ref="H24:I24"/>
    <mergeCell ref="J24:K24"/>
    <mergeCell ref="L24:M24"/>
    <mergeCell ref="N24:O24"/>
    <mergeCell ref="P24:Q24"/>
    <mergeCell ref="R24:S24"/>
    <mergeCell ref="T24:U24"/>
    <mergeCell ref="V24:W24"/>
    <mergeCell ref="X32:Y32"/>
    <mergeCell ref="X33:Y33"/>
    <mergeCell ref="X34:Y34"/>
    <mergeCell ref="X35:Y35"/>
    <mergeCell ref="B21:C21"/>
    <mergeCell ref="D21:E21"/>
    <mergeCell ref="F21:G21"/>
    <mergeCell ref="H21:I21"/>
    <mergeCell ref="J21:K21"/>
    <mergeCell ref="L21:M21"/>
    <mergeCell ref="N21:O21"/>
    <mergeCell ref="P21:Q21"/>
    <mergeCell ref="R21:S21"/>
    <mergeCell ref="T21:U21"/>
    <mergeCell ref="V21:W21"/>
    <mergeCell ref="B23:C23"/>
    <mergeCell ref="X26:Y26"/>
    <mergeCell ref="X27:Y27"/>
    <mergeCell ref="X28:Y28"/>
    <mergeCell ref="X30:Y30"/>
    <mergeCell ref="X31:Y31"/>
    <mergeCell ref="T23:U23"/>
    <mergeCell ref="V23:W23"/>
    <mergeCell ref="B24:C24"/>
    <mergeCell ref="Q12:S12"/>
    <mergeCell ref="W13:Y13"/>
    <mergeCell ref="X21:Y21"/>
    <mergeCell ref="X23:Y23"/>
    <mergeCell ref="X24:Y24"/>
    <mergeCell ref="X25:Y25"/>
    <mergeCell ref="W8:Y8"/>
    <mergeCell ref="W9:Y9"/>
    <mergeCell ref="W10:Y10"/>
    <mergeCell ref="W11:Y11"/>
    <mergeCell ref="W12:Y12"/>
    <mergeCell ref="T25:U25"/>
    <mergeCell ref="V25:W25"/>
    <mergeCell ref="R20:S20"/>
    <mergeCell ref="T20:U20"/>
    <mergeCell ref="V20:W20"/>
    <mergeCell ref="X20:Y20"/>
    <mergeCell ref="W6:Y6"/>
    <mergeCell ref="H12:J12"/>
    <mergeCell ref="H13:J13"/>
    <mergeCell ref="K6:M6"/>
    <mergeCell ref="K7:M7"/>
    <mergeCell ref="K8:M8"/>
    <mergeCell ref="K9:M9"/>
    <mergeCell ref="K10:M10"/>
    <mergeCell ref="K11:M11"/>
    <mergeCell ref="K12:M12"/>
    <mergeCell ref="K13:M13"/>
    <mergeCell ref="Q13:S13"/>
    <mergeCell ref="T6:V6"/>
    <mergeCell ref="T7:V7"/>
    <mergeCell ref="T8:V8"/>
    <mergeCell ref="T9:V9"/>
    <mergeCell ref="T10:V10"/>
    <mergeCell ref="T11:V11"/>
    <mergeCell ref="T12:V12"/>
    <mergeCell ref="T13:V13"/>
    <mergeCell ref="Q8:S8"/>
    <mergeCell ref="Q9:S9"/>
    <mergeCell ref="Q10:S10"/>
    <mergeCell ref="Q11:S11"/>
    <mergeCell ref="B6:D6"/>
    <mergeCell ref="B7:D7"/>
    <mergeCell ref="E6:G6"/>
    <mergeCell ref="E7:G7"/>
    <mergeCell ref="H6:J6"/>
    <mergeCell ref="H7:J7"/>
    <mergeCell ref="N6:P6"/>
    <mergeCell ref="N7:P7"/>
    <mergeCell ref="Q6:S6"/>
    <mergeCell ref="Q7:S7"/>
    <mergeCell ref="B19:E19"/>
    <mergeCell ref="F19:I19"/>
    <mergeCell ref="J19:M19"/>
    <mergeCell ref="N19:Q19"/>
    <mergeCell ref="R19:U19"/>
    <mergeCell ref="V19:Y19"/>
    <mergeCell ref="H20:I20"/>
    <mergeCell ref="J20:K20"/>
    <mergeCell ref="L20:M20"/>
    <mergeCell ref="N20:O20"/>
    <mergeCell ref="P20:Q20"/>
    <mergeCell ref="B20:C20"/>
    <mergeCell ref="D20:E20"/>
    <mergeCell ref="F20:G20"/>
    <mergeCell ref="B35:C35"/>
    <mergeCell ref="B30:C30"/>
    <mergeCell ref="B31:C31"/>
    <mergeCell ref="B32:C32"/>
    <mergeCell ref="B33:C33"/>
    <mergeCell ref="B34:C34"/>
    <mergeCell ref="B8:D8"/>
    <mergeCell ref="B9:D9"/>
    <mergeCell ref="B10:D10"/>
    <mergeCell ref="B11:D11"/>
    <mergeCell ref="B12:D12"/>
    <mergeCell ref="B13:D13"/>
    <mergeCell ref="B18:I18"/>
    <mergeCell ref="D23:E23"/>
    <mergeCell ref="F23:G23"/>
    <mergeCell ref="H23:I23"/>
    <mergeCell ref="B25:C25"/>
    <mergeCell ref="D25:E25"/>
    <mergeCell ref="F25:G25"/>
    <mergeCell ref="H25:I25"/>
    <mergeCell ref="B27:C27"/>
    <mergeCell ref="D27:E27"/>
    <mergeCell ref="F27:G27"/>
    <mergeCell ref="D24:E24"/>
    <mergeCell ref="N8:P8"/>
    <mergeCell ref="N9:P9"/>
    <mergeCell ref="N10:P10"/>
    <mergeCell ref="N11:P11"/>
    <mergeCell ref="N12:P12"/>
    <mergeCell ref="N13:P13"/>
    <mergeCell ref="A4:A6"/>
    <mergeCell ref="J18:Q18"/>
    <mergeCell ref="R18:Y18"/>
    <mergeCell ref="E8:G8"/>
    <mergeCell ref="E9:G9"/>
    <mergeCell ref="E10:G10"/>
    <mergeCell ref="E11:G11"/>
    <mergeCell ref="E12:G12"/>
    <mergeCell ref="E13:G13"/>
    <mergeCell ref="H8:J8"/>
    <mergeCell ref="H9:J9"/>
    <mergeCell ref="H10:J10"/>
    <mergeCell ref="H11:J11"/>
    <mergeCell ref="T5:Y5"/>
    <mergeCell ref="N5:S5"/>
    <mergeCell ref="H4:M5"/>
    <mergeCell ref="B4:G5"/>
    <mergeCell ref="W7:Y7"/>
  </mergeCells>
  <pageMargins left="0.24" right="0.19"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14</vt:i4>
      </vt:variant>
    </vt:vector>
  </HeadingPairs>
  <TitlesOfParts>
    <vt:vector size="41" baseType="lpstr">
      <vt:lpstr>Sec 1 Q1&amp;2</vt:lpstr>
      <vt:lpstr>Q3&amp;4</vt:lpstr>
      <vt:lpstr>Q5&amp;6</vt:lpstr>
      <vt:lpstr>Q7</vt:lpstr>
      <vt:lpstr>Sec 2 Q8&amp;9</vt:lpstr>
      <vt:lpstr>Q10&amp;11</vt:lpstr>
      <vt:lpstr>Q12</vt:lpstr>
      <vt:lpstr>Q12V2</vt:lpstr>
      <vt:lpstr>Q13&amp;14</vt:lpstr>
      <vt:lpstr>Sec 3 Q15</vt:lpstr>
      <vt:lpstr>Q16&amp;17</vt:lpstr>
      <vt:lpstr>Q18</vt:lpstr>
      <vt:lpstr>Q19</vt:lpstr>
      <vt:lpstr>Q20</vt:lpstr>
      <vt:lpstr>Q21&amp;Q22</vt:lpstr>
      <vt:lpstr>Q23&amp;24</vt:lpstr>
      <vt:lpstr>Q25&amp;26</vt:lpstr>
      <vt:lpstr>Q27&amp;28</vt:lpstr>
      <vt:lpstr>Q29</vt:lpstr>
      <vt:lpstr>Sec 4 Q30&amp;31</vt:lpstr>
      <vt:lpstr>Q32-34</vt:lpstr>
      <vt:lpstr>Q35</vt:lpstr>
      <vt:lpstr>Sec 5 Q36a-b</vt:lpstr>
      <vt:lpstr>Q36c</vt:lpstr>
      <vt:lpstr>Q36d-f</vt:lpstr>
      <vt:lpstr>Q37</vt:lpstr>
      <vt:lpstr>Q38&amp;39</vt:lpstr>
      <vt:lpstr>'Q12'!_edn1</vt:lpstr>
      <vt:lpstr>'Q12'!_ednref1</vt:lpstr>
      <vt:lpstr>'Sec 1 Q1&amp;2'!_ftn1</vt:lpstr>
      <vt:lpstr>'Sec 1 Q1&amp;2'!_ftnref1</vt:lpstr>
      <vt:lpstr>'Sec 5 Q36a-b'!_Hlk176854599</vt:lpstr>
      <vt:lpstr>'Q10&amp;11'!_Hlk179963045</vt:lpstr>
      <vt:lpstr>'Sec 4 Q30&amp;31'!_Hlk216246730</vt:lpstr>
      <vt:lpstr>'Q12'!CorrectGrant</vt:lpstr>
      <vt:lpstr>Q12V2!CorrectGrant</vt:lpstr>
      <vt:lpstr>'Q5&amp;6'!OLE_LINK1</vt:lpstr>
      <vt:lpstr>'Sec 5 Q36a-b'!OLE_LINK13</vt:lpstr>
      <vt:lpstr>'Q3&amp;4'!OLE_LINK5</vt:lpstr>
      <vt:lpstr>'Q16&amp;17'!OLE_LINK9</vt:lpstr>
      <vt:lpstr>ProgramType</vt:lpstr>
    </vt:vector>
  </TitlesOfParts>
  <Company>Simtech Solutions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Simtech Solutions Inc</dc:creator>
  <cp:lastModifiedBy>Eddie Barber</cp:lastModifiedBy>
  <cp:lastPrinted>2010-06-01T03:04:01Z</cp:lastPrinted>
  <dcterms:created xsi:type="dcterms:W3CDTF">2010-02-11T17:06:54Z</dcterms:created>
  <dcterms:modified xsi:type="dcterms:W3CDTF">2010-06-02T21:15:43Z</dcterms:modified>
</cp:coreProperties>
</file>