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tistik sektoral 2022\DATA SEKTORAL TAHUN 2022\fixed\"/>
    </mc:Choice>
  </mc:AlternateContent>
  <xr:revisionPtr revIDLastSave="0" documentId="13_ncr:1_{FAFE99FA-A428-442C-8615-848B3ACCD14C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PA" sheetId="4" r:id="rId1"/>
    <sheet name="Bedah Rumah" sheetId="5" r:id="rId2"/>
    <sheet name="Rumah Ibadah" sheetId="6" r:id="rId3"/>
    <sheet name="Bantuan Sosial" sheetId="1" r:id="rId4"/>
    <sheet name=" Permen 18 thn 2020" sheetId="7" r:id="rId5"/>
    <sheet name="Sheet1" sheetId="9" r:id="rId6"/>
    <sheet name="Permen 18 2020" sheetId="8" r:id="rId7"/>
  </sheets>
  <definedNames>
    <definedName name="_xlnm.Print_Area" localSheetId="4">' Permen 18 thn 2020'!$A$1:$H$28</definedName>
    <definedName name="_xlnm.Print_Area" localSheetId="3">'Bantuan Sosial'!$A$1:$F$159</definedName>
    <definedName name="_xlnm.Print_Area" localSheetId="1">'Bedah Rumah'!$A$1:$D$23</definedName>
    <definedName name="_xlnm.Print_Area" localSheetId="0">PA!$A$1:$G$34</definedName>
    <definedName name="_xlnm.Print_Area" localSheetId="2">'Rumah Ibadah'!$A$1:$E$80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9" l="1"/>
  <c r="D20" i="9"/>
  <c r="E20" i="9"/>
  <c r="F20" i="9"/>
  <c r="C100" i="1"/>
  <c r="F100" i="1" l="1"/>
  <c r="E100" i="1"/>
  <c r="D100" i="1"/>
  <c r="F61" i="1" l="1"/>
  <c r="E61" i="1"/>
  <c r="D61" i="1"/>
  <c r="C61" i="1"/>
  <c r="F60" i="1"/>
  <c r="F62" i="1" s="1"/>
  <c r="E60" i="1"/>
  <c r="E62" i="1" s="1"/>
  <c r="D60" i="1"/>
  <c r="D62" i="1" s="1"/>
  <c r="C60" i="1"/>
  <c r="C62" i="1" s="1"/>
  <c r="F57" i="1"/>
  <c r="E57" i="1"/>
  <c r="D57" i="1"/>
  <c r="C57" i="1"/>
  <c r="F56" i="1"/>
  <c r="F58" i="1" s="1"/>
  <c r="E56" i="1"/>
  <c r="E58" i="1" s="1"/>
  <c r="D56" i="1"/>
  <c r="D58" i="1" s="1"/>
  <c r="C56" i="1"/>
  <c r="C58" i="1" s="1"/>
  <c r="F53" i="1"/>
  <c r="E53" i="1"/>
  <c r="D53" i="1"/>
  <c r="C53" i="1"/>
  <c r="F52" i="1"/>
  <c r="F54" i="1" s="1"/>
  <c r="E52" i="1"/>
  <c r="E54" i="1" s="1"/>
  <c r="D52" i="1"/>
  <c r="D54" i="1" s="1"/>
  <c r="C52" i="1"/>
  <c r="C54" i="1" s="1"/>
  <c r="F49" i="1"/>
  <c r="E49" i="1"/>
  <c r="D49" i="1"/>
  <c r="C49" i="1"/>
  <c r="F48" i="1"/>
  <c r="F50" i="1" s="1"/>
  <c r="E48" i="1"/>
  <c r="E50" i="1" s="1"/>
  <c r="D48" i="1"/>
  <c r="D50" i="1" s="1"/>
  <c r="C48" i="1"/>
  <c r="C50" i="1" s="1"/>
  <c r="F45" i="1"/>
  <c r="E45" i="1"/>
  <c r="D45" i="1"/>
  <c r="C45" i="1"/>
  <c r="F44" i="1"/>
  <c r="F46" i="1" s="1"/>
  <c r="E44" i="1"/>
  <c r="E46" i="1" s="1"/>
  <c r="D44" i="1"/>
  <c r="D46" i="1" s="1"/>
  <c r="C44" i="1"/>
  <c r="C46" i="1" s="1"/>
  <c r="C41" i="1"/>
  <c r="F40" i="1"/>
  <c r="F42" i="1" s="1"/>
  <c r="E40" i="1"/>
  <c r="E42" i="1" s="1"/>
  <c r="D40" i="1"/>
  <c r="D42" i="1" s="1"/>
  <c r="C40" i="1"/>
  <c r="C42" i="1" s="1"/>
  <c r="F37" i="1"/>
  <c r="E37" i="1"/>
  <c r="D37" i="1"/>
  <c r="C37" i="1"/>
  <c r="F36" i="1"/>
  <c r="F38" i="1" s="1"/>
  <c r="E36" i="1"/>
  <c r="E38" i="1" s="1"/>
  <c r="D36" i="1"/>
  <c r="D38" i="1" s="1"/>
  <c r="C36" i="1"/>
  <c r="C38" i="1" s="1"/>
  <c r="F33" i="1"/>
  <c r="E33" i="1"/>
  <c r="D33" i="1"/>
  <c r="C33" i="1"/>
  <c r="F32" i="1"/>
  <c r="F34" i="1" s="1"/>
  <c r="E32" i="1"/>
  <c r="E34" i="1" s="1"/>
  <c r="D32" i="1"/>
  <c r="D34" i="1" s="1"/>
  <c r="C32" i="1"/>
  <c r="C34" i="1" s="1"/>
  <c r="F29" i="1"/>
  <c r="E29" i="1"/>
  <c r="D29" i="1"/>
  <c r="C29" i="1"/>
  <c r="F28" i="1"/>
  <c r="F30" i="1" s="1"/>
  <c r="E28" i="1"/>
  <c r="E30" i="1" s="1"/>
  <c r="D28" i="1"/>
  <c r="D30" i="1" s="1"/>
  <c r="C28" i="1"/>
  <c r="C30" i="1" s="1"/>
  <c r="F25" i="1"/>
  <c r="E25" i="1"/>
  <c r="D25" i="1"/>
  <c r="C25" i="1"/>
  <c r="F24" i="1"/>
  <c r="F26" i="1" s="1"/>
  <c r="E24" i="1"/>
  <c r="E26" i="1" s="1"/>
  <c r="D24" i="1"/>
  <c r="C24" i="1"/>
  <c r="C26" i="1" s="1"/>
  <c r="F17" i="1"/>
  <c r="F18" i="1" s="1"/>
  <c r="E17" i="1"/>
  <c r="E18" i="1" s="1"/>
  <c r="D17" i="1"/>
  <c r="D18" i="1" s="1"/>
  <c r="C17" i="1"/>
  <c r="C18" i="1" s="1"/>
  <c r="F21" i="1"/>
  <c r="E21" i="1"/>
  <c r="D21" i="1"/>
  <c r="C21" i="1"/>
  <c r="F20" i="1"/>
  <c r="F22" i="1" s="1"/>
  <c r="E20" i="1"/>
  <c r="E22" i="1" s="1"/>
  <c r="D20" i="1"/>
  <c r="D22" i="1" s="1"/>
  <c r="C20" i="1"/>
  <c r="C22" i="1" s="1"/>
  <c r="F13" i="1"/>
  <c r="E13" i="1"/>
  <c r="D13" i="1"/>
  <c r="C13" i="1"/>
  <c r="F12" i="1"/>
  <c r="F14" i="1" s="1"/>
  <c r="F64" i="1" s="1"/>
  <c r="E12" i="1"/>
  <c r="E14" i="1" s="1"/>
  <c r="E64" i="1" s="1"/>
  <c r="D12" i="1"/>
  <c r="D14" i="1" s="1"/>
  <c r="C12" i="1"/>
  <c r="C14" i="1" s="1"/>
  <c r="C64" i="1" s="1"/>
  <c r="D26" i="1" l="1"/>
  <c r="D64" i="1" s="1"/>
  <c r="D71" i="6"/>
  <c r="D57" i="6"/>
  <c r="D51" i="6"/>
  <c r="D40" i="6"/>
  <c r="D36" i="6"/>
  <c r="D28" i="6"/>
  <c r="D22" i="6"/>
  <c r="D16" i="6"/>
  <c r="D72" i="6" s="1"/>
</calcChain>
</file>

<file path=xl/sharedStrings.xml><?xml version="1.0" encoding="utf-8"?>
<sst xmlns="http://schemas.openxmlformats.org/spreadsheetml/2006/main" count="324" uniqueCount="157">
  <si>
    <t>NO</t>
  </si>
  <si>
    <t>KECAMATAN</t>
  </si>
  <si>
    <t>PENERIMA BANTUAN</t>
  </si>
  <si>
    <t>RASTRA ALOKASI JAN-AGUST</t>
  </si>
  <si>
    <t>BPNT ALOKASI SEP-DES</t>
  </si>
  <si>
    <t xml:space="preserve">ANGGARAN BANTUAN SOSIAL PANGAN </t>
  </si>
  <si>
    <t>RASTRA</t>
  </si>
  <si>
    <t>BPNT</t>
  </si>
  <si>
    <t>JUMLAH</t>
  </si>
  <si>
    <t>2021 APBN</t>
  </si>
  <si>
    <t>JUMLAH PENERIMA BANTUAN DAN ANGGARAN BANTUAN SOSIAL PANGAN
MENURUT KECAMATAN DI KABUPATEN PANGKEP TAHUN 2021</t>
  </si>
  <si>
    <t>NAMA PANTI ASUHAN DI PANGKAJENE DAN KEPULAUAN TAHUN 2021</t>
  </si>
  <si>
    <t>NAMA PANTI ASUHAN</t>
  </si>
  <si>
    <t>ALAMAT
(DESA/KELURAHAN)</t>
  </si>
  <si>
    <t>NEGERI, SWASTA, SUBSIDI</t>
  </si>
  <si>
    <t>JUMLAH (ORANG)</t>
  </si>
  <si>
    <t>PENGURUS</t>
  </si>
  <si>
    <t>PANTI</t>
  </si>
  <si>
    <t>NON PANTI</t>
  </si>
  <si>
    <t>DESA</t>
  </si>
  <si>
    <t>JUMLAH RUMAH MASYARAKAT YANG MENDAPATKAN KEGIATAN BEDAH RUMAH TAHUN 2021</t>
  </si>
  <si>
    <t>JUMLAH PERBAIKAN RUMAH</t>
  </si>
  <si>
    <t>JUMLAH RUMAH IBADAH YANG MENDAPATKAN BANTUAN DARI PEMDA KABUPATEN PANGKEP TAHUN 2021</t>
  </si>
  <si>
    <t>JUMLAH PERBAIKAN RUMAH IBADAH</t>
  </si>
  <si>
    <t>JENIS RUMAH IBADAH</t>
  </si>
  <si>
    <t>No</t>
  </si>
  <si>
    <t>Jumlah yang masuk dalam data terpadu FM dan OTM</t>
  </si>
  <si>
    <t>Jumlah yang dijangkau</t>
  </si>
  <si>
    <t>Jumlah yang menerima paket permakanan sesuai standar</t>
  </si>
  <si>
    <t>Jumlah yang menerima paket sandang</t>
  </si>
  <si>
    <t>Jumlah yang memanfaatkan alat bantu</t>
  </si>
  <si>
    <t>Jumlah yang mendapatkan akses layanan pendidikan dan kesehatan dasar</t>
  </si>
  <si>
    <t>Jumlah yang dirujuk</t>
  </si>
  <si>
    <t>U r a i a n</t>
  </si>
  <si>
    <t>Gepeng 
(Gelandangan Pengemis)</t>
  </si>
  <si>
    <t>Masalah Sosial</t>
  </si>
  <si>
    <t>Data 2021</t>
  </si>
  <si>
    <t>Tahun 2021</t>
  </si>
  <si>
    <t>Ket</t>
  </si>
  <si>
    <t>Jumlah yang mendapatkan bimbingan fisik, mental dan sosial sesuai standar di keluarga, masyarakat, Dinas Sosial, Rumah Singgah/Shelter dan/atau Pusat Kesejahteraan Sosial</t>
  </si>
  <si>
    <t>Penyandang 
Disabilitas 
Terlantar</t>
  </si>
  <si>
    <t>Anak 
Terlantar</t>
  </si>
  <si>
    <t>Lanjut 
Usia 
Terlantar</t>
  </si>
  <si>
    <t>Jumlah yang difasilitasi untuk mendapatkan dokumen kependudukan</t>
  </si>
  <si>
    <t>RUMAH SINGGAH DI KABUPATEN PANGKEP TAHUN 2021</t>
  </si>
  <si>
    <t>Jumlah Rumah Singgah/Shelter/Tempat tinggal sementara yang dimiliki sesuai standar</t>
  </si>
  <si>
    <t xml:space="preserve">Jumlah alat bantu yang tersedia di rumah singgah </t>
  </si>
  <si>
    <t>Jumlah tenaga kesehatan yang disediakan di rumah singgah</t>
  </si>
  <si>
    <t>Sumber : Permendagri No. 18 Tahun 2020</t>
  </si>
  <si>
    <t>Mengetahui :</t>
  </si>
  <si>
    <t>Pangkajene,                                    2022</t>
  </si>
  <si>
    <r>
      <rPr>
        <b/>
        <i/>
        <sz val="9"/>
        <color theme="1"/>
        <rFont val="Calibri"/>
        <family val="2"/>
        <scheme val="minor"/>
      </rPr>
      <t xml:space="preserve">Catatan </t>
    </r>
    <r>
      <rPr>
        <sz val="9"/>
        <color theme="1"/>
        <rFont val="Calibri"/>
        <family val="2"/>
        <scheme val="minor"/>
      </rPr>
      <t>: silahkan menambah kolom jika diperlukan sesuai kelengkapan data/informasi</t>
    </r>
  </si>
  <si>
    <t xml:space="preserve"> PEMERINTAH KABUPATEN PANGKAJENE DAN KEPULAUAN</t>
  </si>
  <si>
    <t xml:space="preserve">DINAS SOSIAL </t>
  </si>
  <si>
    <t>Jl. Sultan HasanuddinNo.7, Pangkajene,Telp.(0410)2321044, Fax. (0410) 2321044, kodepos 90611email :Sosial_pangkep@yahoo.com</t>
  </si>
  <si>
    <t>PANGKAJENE</t>
  </si>
  <si>
    <t>LKSA MUJAHIDIN</t>
  </si>
  <si>
    <t>JL. Kemakmuran Km. 52 Kel. Mappasaile</t>
  </si>
  <si>
    <t>SWASTA</t>
  </si>
  <si>
    <t>LKSA MATTOANGING</t>
  </si>
  <si>
    <t>JL. Penghibur No.2 Kel. Mappasaile</t>
  </si>
  <si>
    <t>LABAKKANG</t>
  </si>
  <si>
    <t>LKSA MAWADDAH WARAHMAH</t>
  </si>
  <si>
    <t>JL. A. Maruddani Erasa Kel. Pundata Baji</t>
  </si>
  <si>
    <t>Kepala Dinas Sosial Kab. Pangkep</t>
  </si>
  <si>
    <t>Hj. NAJEMIAH, SP</t>
  </si>
  <si>
    <t>Nip. 19680816 199903 2 006</t>
  </si>
  <si>
    <t>Pangkajene,                                2022</t>
  </si>
  <si>
    <t>DESA BATARA</t>
  </si>
  <si>
    <t>DESA GENTUNG</t>
  </si>
  <si>
    <t>Hj.  NAJEMIAH, SP</t>
  </si>
  <si>
    <t xml:space="preserve">PANGKAJENE </t>
  </si>
  <si>
    <t>PADOANG-DOANGAN</t>
  </si>
  <si>
    <t>JAGONG</t>
  </si>
  <si>
    <t>TUMAMPUA</t>
  </si>
  <si>
    <t>TEKOLABBUA</t>
  </si>
  <si>
    <t>SIBATUA</t>
  </si>
  <si>
    <t>MAPPASAILE</t>
  </si>
  <si>
    <t>MINASATENE</t>
  </si>
  <si>
    <t>BONTO KIO</t>
  </si>
  <si>
    <t>BONTOA</t>
  </si>
  <si>
    <t>BIRAENG</t>
  </si>
  <si>
    <t>BONTO LANGKASA</t>
  </si>
  <si>
    <t>BALOCCI</t>
  </si>
  <si>
    <t>KASSI</t>
  </si>
  <si>
    <t>BUNGORO</t>
  </si>
  <si>
    <t>SAMALEWA</t>
  </si>
  <si>
    <t>BOWONG CINDEA</t>
  </si>
  <si>
    <t>MANGILU</t>
  </si>
  <si>
    <t>MANGALLEKANA</t>
  </si>
  <si>
    <t>PUNDATA BAJI</t>
  </si>
  <si>
    <t>GENTUNG</t>
  </si>
  <si>
    <t>BATARA</t>
  </si>
  <si>
    <t>BONTO MANAI</t>
  </si>
  <si>
    <t>KASSILOE</t>
  </si>
  <si>
    <t>Pembina Tk. I / IV b</t>
  </si>
  <si>
    <t>MA'RANG</t>
  </si>
  <si>
    <t>ATTANGSALO</t>
  </si>
  <si>
    <t>TAMANGAPA</t>
  </si>
  <si>
    <t>SEGERI</t>
  </si>
  <si>
    <t>BARING</t>
  </si>
  <si>
    <t>Tidak ada</t>
  </si>
  <si>
    <t>MANDALLE</t>
  </si>
  <si>
    <t>TAMARUPA</t>
  </si>
  <si>
    <t>COPPO TOMPONG</t>
  </si>
  <si>
    <t>TONDONG TALLASA</t>
  </si>
  <si>
    <t>TONDONG KURA</t>
  </si>
  <si>
    <t>BONTO BIRAO</t>
  </si>
  <si>
    <t>MALAKA</t>
  </si>
  <si>
    <t>BULU TELLUE</t>
  </si>
  <si>
    <t>LIUKANG KALMAS</t>
  </si>
  <si>
    <t>KALU KALUKUANG</t>
  </si>
  <si>
    <t>DEWAKANG</t>
  </si>
  <si>
    <t>DOANG - DOANGAN</t>
  </si>
  <si>
    <t>LIUKANG TUPABIRING</t>
  </si>
  <si>
    <t>MATTIRO BINTANG</t>
  </si>
  <si>
    <t>LIUKANG TUPABIRING UTARA</t>
  </si>
  <si>
    <t>MATTIRO LABANGENG</t>
  </si>
  <si>
    <t>LIUKANG TANGAYA</t>
  </si>
  <si>
    <t>SABALANA</t>
  </si>
  <si>
    <t>SABARU</t>
  </si>
  <si>
    <t>PAMMAS</t>
  </si>
  <si>
    <t>SAPUKA</t>
  </si>
  <si>
    <t>SAILUS</t>
  </si>
  <si>
    <t>SATANGER</t>
  </si>
  <si>
    <t>BALO-BALOANG</t>
  </si>
  <si>
    <t>POLEONRO</t>
  </si>
  <si>
    <t>KAPOPOSAN BALI</t>
  </si>
  <si>
    <t>TAMPAANG</t>
  </si>
  <si>
    <t>Kepala Dinas Sosial</t>
  </si>
  <si>
    <t>Pembina Tk I / IV b</t>
  </si>
  <si>
    <t>YAYASAN KEAGAMAAN</t>
  </si>
  <si>
    <t>MASJID</t>
  </si>
  <si>
    <t>MASJID DAN MUSHOLLAH</t>
  </si>
  <si>
    <t>MUSHOLLAH</t>
  </si>
  <si>
    <t>MASJID DAN SEKOLAH</t>
  </si>
  <si>
    <t>MASJID DAN MADRASAH</t>
  </si>
  <si>
    <t>JUMLAH PENYANDANG MASALAH KESEJAHTERAAN SOSIAL</t>
  </si>
  <si>
    <t>DI KABUPATEN PANGKEP TAHUN 2021</t>
  </si>
  <si>
    <t>REGULAR</t>
  </si>
  <si>
    <t>PPKM</t>
  </si>
  <si>
    <t>Hj. NAJEMIAH,SP</t>
  </si>
  <si>
    <t>JUMLAH PENERIMA BANTUAN PKH
MENURUT KECAMATAN DI KABUPATEN PANGKEP TAHUN 2021</t>
  </si>
  <si>
    <t>TAHAP I</t>
  </si>
  <si>
    <t>TAHAP II</t>
  </si>
  <si>
    <t>TAHAP III</t>
  </si>
  <si>
    <t>TAHAP IV</t>
  </si>
  <si>
    <t xml:space="preserve">JUMLAH KPM </t>
  </si>
  <si>
    <t xml:space="preserve"> </t>
  </si>
  <si>
    <t>Pangkajene,                     2022</t>
  </si>
  <si>
    <t>LKSA FIRMAN ALLAH</t>
  </si>
  <si>
    <t>Jl. Cendana Barat Kel. Padoang-doangan</t>
  </si>
  <si>
    <t>LKSA INSAN SEJATI</t>
  </si>
  <si>
    <t>Kel. Ma'rang Kec. Ma'rang</t>
  </si>
  <si>
    <t>JUMLAH KPM</t>
  </si>
  <si>
    <t>MENURUT KECAMATAN DI KABUPATEN PANGKEP TAHUN 2021</t>
  </si>
  <si>
    <t>JUMLAH PENERIMA BANTUAN PKH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</si>
</sst>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charset val="1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i/>
      <u/>
      <sz val="7"/>
      <color theme="1"/>
      <name val="Calibri"/>
      <family val="2"/>
      <scheme val="minor"/>
    </font>
    <font>
      <i/>
      <sz val="7"/>
      <color theme="1"/>
      <name val="Times New Roman"/>
      <family val="1"/>
    </font>
    <font>
      <i/>
      <sz val="7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Baskerville Old Face"/>
      <family val="1"/>
    </font>
    <font>
      <b/>
      <sz val="14"/>
      <color rgb="FF000000"/>
      <name val="Times New Roman"/>
      <family val="1"/>
    </font>
    <font>
      <b/>
      <sz val="24"/>
      <color rgb="FF000000"/>
      <name val="Times New Roman"/>
      <family val="1"/>
    </font>
    <font>
      <sz val="11"/>
      <color rgb="FF000000"/>
      <name val="Times New Roman"/>
      <family val="1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u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9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28" fillId="0" borderId="0" applyFont="0" applyFill="0" applyBorder="0" applyAlignment="0" applyProtection="0"/>
  </cellStyleXfs>
  <cellXfs count="216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0" fillId="0" borderId="10" xfId="0" applyBorder="1"/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3" fillId="0" borderId="0" xfId="0" applyFont="1"/>
    <xf numFmtId="0" fontId="8" fillId="3" borderId="1" xfId="0" applyFont="1" applyFill="1" applyBorder="1" applyAlignment="1">
      <alignment horizontal="center" vertical="center" wrapText="1"/>
    </xf>
    <xf numFmtId="37" fontId="1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37" fontId="16" fillId="4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37" fontId="0" fillId="2" borderId="8" xfId="0" applyNumberFormat="1" applyFill="1" applyBorder="1"/>
    <xf numFmtId="0" fontId="7" fillId="0" borderId="9" xfId="0" applyFont="1" applyBorder="1" applyAlignment="1">
      <alignment vertical="center"/>
    </xf>
    <xf numFmtId="37" fontId="0" fillId="2" borderId="9" xfId="0" applyNumberFormat="1" applyFill="1" applyBorder="1"/>
    <xf numFmtId="0" fontId="7" fillId="0" borderId="10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 readingOrder="1"/>
    </xf>
    <xf numFmtId="0" fontId="21" fillId="0" borderId="0" xfId="0" applyFont="1" applyAlignment="1">
      <alignment vertical="center" readingOrder="1"/>
    </xf>
    <xf numFmtId="0" fontId="22" fillId="0" borderId="0" xfId="0" applyFont="1" applyAlignment="1">
      <alignment vertical="center" readingOrder="1"/>
    </xf>
    <xf numFmtId="37" fontId="0" fillId="2" borderId="12" xfId="0" applyNumberFormat="1" applyFill="1" applyBorder="1"/>
    <xf numFmtId="0" fontId="7" fillId="0" borderId="0" xfId="0" applyFont="1" applyBorder="1" applyAlignment="1">
      <alignment vertical="center"/>
    </xf>
    <xf numFmtId="164" fontId="0" fillId="2" borderId="0" xfId="0" applyNumberFormat="1" applyFont="1" applyFill="1" applyBorder="1"/>
    <xf numFmtId="37" fontId="0" fillId="2" borderId="0" xfId="0" applyNumberFormat="1" applyFill="1" applyBorder="1"/>
    <xf numFmtId="164" fontId="0" fillId="0" borderId="0" xfId="0" applyNumberFormat="1" applyFont="1" applyFill="1" applyBorder="1"/>
    <xf numFmtId="37" fontId="0" fillId="0" borderId="0" xfId="0" applyNumberFormat="1" applyBorder="1"/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164" fontId="0" fillId="2" borderId="14" xfId="0" applyNumberFormat="1" applyFont="1" applyFill="1" applyBorder="1"/>
    <xf numFmtId="37" fontId="0" fillId="2" borderId="14" xfId="0" applyNumberFormat="1" applyFill="1" applyBorder="1"/>
    <xf numFmtId="0" fontId="5" fillId="0" borderId="8" xfId="0" applyFont="1" applyBorder="1" applyAlignment="1">
      <alignment vertical="center"/>
    </xf>
    <xf numFmtId="164" fontId="24" fillId="2" borderId="8" xfId="0" applyNumberFormat="1" applyFont="1" applyFill="1" applyBorder="1" applyAlignment="1">
      <alignment vertical="center"/>
    </xf>
    <xf numFmtId="37" fontId="24" fillId="2" borderId="8" xfId="0" applyNumberFormat="1" applyFont="1" applyFill="1" applyBorder="1" applyAlignment="1">
      <alignment vertical="center" wrapText="1"/>
    </xf>
    <xf numFmtId="37" fontId="2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4" fontId="24" fillId="2" borderId="9" xfId="0" applyNumberFormat="1" applyFont="1" applyFill="1" applyBorder="1" applyAlignment="1">
      <alignment vertical="center"/>
    </xf>
    <xf numFmtId="37" fontId="24" fillId="2" borderId="9" xfId="0" applyNumberFormat="1" applyFont="1" applyFill="1" applyBorder="1" applyAlignment="1">
      <alignment vertical="center" wrapText="1"/>
    </xf>
    <xf numFmtId="37" fontId="24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164" fontId="24" fillId="2" borderId="12" xfId="0" applyNumberFormat="1" applyFont="1" applyFill="1" applyBorder="1" applyAlignment="1">
      <alignment vertical="center" wrapText="1"/>
    </xf>
    <xf numFmtId="37" fontId="24" fillId="2" borderId="12" xfId="0" applyNumberFormat="1" applyFont="1" applyFill="1" applyBorder="1" applyAlignment="1">
      <alignment vertical="center" wrapText="1"/>
    </xf>
    <xf numFmtId="37" fontId="24" fillId="2" borderId="12" xfId="0" applyNumberFormat="1" applyFont="1" applyFill="1" applyBorder="1" applyAlignment="1">
      <alignment horizontal="center" vertical="center"/>
    </xf>
    <xf numFmtId="37" fontId="5" fillId="2" borderId="0" xfId="0" applyNumberFormat="1" applyFont="1" applyFill="1" applyBorder="1"/>
    <xf numFmtId="37" fontId="5" fillId="0" borderId="0" xfId="0" applyNumberFormat="1" applyFont="1" applyBorder="1"/>
    <xf numFmtId="0" fontId="0" fillId="0" borderId="0" xfId="0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37" fontId="0" fillId="2" borderId="15" xfId="0" applyNumberFormat="1" applyFill="1" applyBorder="1"/>
    <xf numFmtId="37" fontId="7" fillId="2" borderId="8" xfId="0" applyNumberFormat="1" applyFont="1" applyFill="1" applyBorder="1" applyAlignment="1">
      <alignment horizontal="center" vertical="center"/>
    </xf>
    <xf numFmtId="37" fontId="7" fillId="2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37" fontId="7" fillId="2" borderId="9" xfId="0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37" fontId="7" fillId="2" borderId="8" xfId="0" applyNumberFormat="1" applyFont="1" applyFill="1" applyBorder="1"/>
    <xf numFmtId="164" fontId="7" fillId="2" borderId="9" xfId="0" applyNumberFormat="1" applyFont="1" applyFill="1" applyBorder="1"/>
    <xf numFmtId="37" fontId="7" fillId="2" borderId="9" xfId="0" applyNumberFormat="1" applyFont="1" applyFill="1" applyBorder="1"/>
    <xf numFmtId="164" fontId="7" fillId="0" borderId="9" xfId="0" applyNumberFormat="1" applyFont="1" applyFill="1" applyBorder="1"/>
    <xf numFmtId="37" fontId="7" fillId="0" borderId="9" xfId="0" applyNumberFormat="1" applyFont="1" applyBorder="1"/>
    <xf numFmtId="37" fontId="7" fillId="2" borderId="15" xfId="0" applyNumberFormat="1" applyFont="1" applyFill="1" applyBorder="1"/>
    <xf numFmtId="37" fontId="7" fillId="0" borderId="9" xfId="0" applyNumberFormat="1" applyFont="1" applyBorder="1" applyAlignment="1">
      <alignment horizontal="center" vertical="center"/>
    </xf>
    <xf numFmtId="37" fontId="7" fillId="2" borderId="15" xfId="0" applyNumberFormat="1" applyFont="1" applyFill="1" applyBorder="1" applyAlignment="1">
      <alignment horizontal="center" vertical="center"/>
    </xf>
    <xf numFmtId="37" fontId="7" fillId="2" borderId="13" xfId="0" applyNumberFormat="1" applyFont="1" applyFill="1" applyBorder="1" applyAlignment="1">
      <alignment horizontal="center" vertical="center"/>
    </xf>
    <xf numFmtId="37" fontId="7" fillId="2" borderId="11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164" fontId="7" fillId="2" borderId="11" xfId="0" applyNumberFormat="1" applyFont="1" applyFill="1" applyBorder="1"/>
    <xf numFmtId="37" fontId="7" fillId="2" borderId="11" xfId="0" applyNumberFormat="1" applyFont="1" applyFill="1" applyBorder="1"/>
    <xf numFmtId="37" fontId="7" fillId="0" borderId="10" xfId="0" applyNumberFormat="1" applyFont="1" applyBorder="1"/>
    <xf numFmtId="37" fontId="8" fillId="0" borderId="10" xfId="0" applyNumberFormat="1" applyFont="1" applyBorder="1" applyAlignment="1">
      <alignment horizontal="center" vertical="center"/>
    </xf>
    <xf numFmtId="37" fontId="0" fillId="0" borderId="10" xfId="0" applyNumberFormat="1" applyBorder="1"/>
    <xf numFmtId="0" fontId="7" fillId="0" borderId="11" xfId="0" applyFont="1" applyBorder="1" applyAlignment="1">
      <alignment horizontal="center" vertical="center"/>
    </xf>
    <xf numFmtId="37" fontId="8" fillId="2" borderId="15" xfId="0" applyNumberFormat="1" applyFont="1" applyFill="1" applyBorder="1" applyAlignment="1">
      <alignment horizontal="center" vertical="center"/>
    </xf>
    <xf numFmtId="37" fontId="7" fillId="2" borderId="13" xfId="0" applyNumberFormat="1" applyFont="1" applyFill="1" applyBorder="1"/>
    <xf numFmtId="37" fontId="12" fillId="2" borderId="15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/>
    </xf>
    <xf numFmtId="37" fontId="0" fillId="2" borderId="8" xfId="0" applyNumberFormat="1" applyFill="1" applyBorder="1" applyAlignment="1">
      <alignment horizontal="center"/>
    </xf>
    <xf numFmtId="37" fontId="0" fillId="2" borderId="13" xfId="0" applyNumberFormat="1" applyFill="1" applyBorder="1" applyAlignment="1">
      <alignment horizontal="center"/>
    </xf>
    <xf numFmtId="37" fontId="0" fillId="2" borderId="15" xfId="0" applyNumberForma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2" xfId="0" applyFont="1" applyBorder="1" applyAlignment="1">
      <alignment horizontal="center" vertical="center"/>
    </xf>
    <xf numFmtId="164" fontId="26" fillId="0" borderId="0" xfId="0" applyNumberFormat="1" applyFont="1"/>
    <xf numFmtId="0" fontId="7" fillId="0" borderId="12" xfId="0" applyFont="1" applyBorder="1" applyAlignment="1">
      <alignment vertical="center"/>
    </xf>
    <xf numFmtId="164" fontId="7" fillId="2" borderId="8" xfId="0" applyNumberFormat="1" applyFont="1" applyFill="1" applyBorder="1"/>
    <xf numFmtId="164" fontId="7" fillId="2" borderId="9" xfId="0" applyNumberFormat="1" applyFont="1" applyFill="1" applyBorder="1" applyAlignment="1"/>
    <xf numFmtId="164" fontId="8" fillId="2" borderId="10" xfId="0" applyNumberFormat="1" applyFont="1" applyFill="1" applyBorder="1" applyAlignment="1"/>
    <xf numFmtId="37" fontId="8" fillId="2" borderId="10" xfId="0" applyNumberFormat="1" applyFont="1" applyFill="1" applyBorder="1"/>
    <xf numFmtId="164" fontId="8" fillId="2" borderId="10" xfId="0" applyNumberFormat="1" applyFont="1" applyFill="1" applyBorder="1"/>
    <xf numFmtId="164" fontId="7" fillId="2" borderId="12" xfId="0" applyNumberFormat="1" applyFont="1" applyFill="1" applyBorder="1"/>
    <xf numFmtId="37" fontId="7" fillId="2" borderId="12" xfId="0" applyNumberFormat="1" applyFont="1" applyFill="1" applyBorder="1"/>
    <xf numFmtId="164" fontId="7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 vertical="center"/>
    </xf>
    <xf numFmtId="41" fontId="0" fillId="0" borderId="8" xfId="1" applyFont="1" applyBorder="1" applyAlignment="1">
      <alignment vertical="center"/>
    </xf>
    <xf numFmtId="41" fontId="0" fillId="0" borderId="9" xfId="1" applyFont="1" applyBorder="1" applyAlignment="1">
      <alignment vertical="center"/>
    </xf>
    <xf numFmtId="164" fontId="2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37" fontId="0" fillId="2" borderId="12" xfId="0" applyNumberFormat="1" applyFill="1" applyBorder="1" applyAlignment="1">
      <alignment horizontal="center" vertical="center"/>
    </xf>
    <xf numFmtId="41" fontId="12" fillId="0" borderId="1" xfId="1" applyFont="1" applyBorder="1"/>
    <xf numFmtId="0" fontId="7" fillId="0" borderId="15" xfId="0" applyFont="1" applyBorder="1" applyAlignment="1">
      <alignment vertical="center"/>
    </xf>
    <xf numFmtId="164" fontId="8" fillId="2" borderId="15" xfId="0" applyNumberFormat="1" applyFont="1" applyFill="1" applyBorder="1"/>
    <xf numFmtId="164" fontId="8" fillId="2" borderId="9" xfId="0" applyNumberFormat="1" applyFont="1" applyFill="1" applyBorder="1"/>
    <xf numFmtId="164" fontId="24" fillId="2" borderId="12" xfId="0" applyNumberFormat="1" applyFont="1" applyFill="1" applyBorder="1" applyAlignment="1">
      <alignment vertical="center"/>
    </xf>
    <xf numFmtId="37" fontId="8" fillId="0" borderId="1" xfId="0" applyNumberFormat="1" applyFont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/>
    </xf>
    <xf numFmtId="0" fontId="31" fillId="0" borderId="11" xfId="0" applyFont="1" applyBorder="1" applyAlignment="1">
      <alignment vertical="center"/>
    </xf>
    <xf numFmtId="0" fontId="31" fillId="0" borderId="9" xfId="0" applyFont="1" applyBorder="1" applyAlignment="1">
      <alignment horizontal="center" vertical="center"/>
    </xf>
    <xf numFmtId="0" fontId="31" fillId="0" borderId="9" xfId="0" applyFont="1" applyBorder="1" applyAlignment="1">
      <alignment vertical="center"/>
    </xf>
    <xf numFmtId="0" fontId="31" fillId="0" borderId="9" xfId="0" applyFont="1" applyBorder="1" applyAlignment="1">
      <alignment vertical="center" wrapText="1"/>
    </xf>
    <xf numFmtId="0" fontId="31" fillId="0" borderId="12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20" fillId="0" borderId="0" xfId="0" applyFont="1" applyAlignment="1">
      <alignment horizontal="center" vertical="center" readingOrder="1"/>
    </xf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8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7" fontId="5" fillId="2" borderId="0" xfId="0" applyNumberFormat="1" applyFont="1" applyFill="1" applyBorder="1" applyAlignment="1">
      <alignment horizontal="center"/>
    </xf>
    <xf numFmtId="37" fontId="25" fillId="2" borderId="0" xfId="0" applyNumberFormat="1" applyFont="1" applyFill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37" fontId="0" fillId="2" borderId="12" xfId="0" applyNumberFormat="1" applyFill="1" applyBorder="1" applyAlignment="1">
      <alignment horizontal="center" vertical="center"/>
    </xf>
    <xf numFmtId="37" fontId="0" fillId="2" borderId="13" xfId="0" applyNumberFormat="1" applyFill="1" applyBorder="1" applyAlignment="1">
      <alignment horizontal="center" vertical="center"/>
    </xf>
    <xf numFmtId="37" fontId="0" fillId="2" borderId="11" xfId="0" applyNumberFormat="1" applyFill="1" applyBorder="1" applyAlignment="1">
      <alignment horizontal="center" vertical="center"/>
    </xf>
    <xf numFmtId="37" fontId="0" fillId="2" borderId="16" xfId="0" applyNumberFormat="1" applyFill="1" applyBorder="1" applyAlignment="1">
      <alignment horizontal="center" vertical="center"/>
    </xf>
    <xf numFmtId="37" fontId="7" fillId="2" borderId="16" xfId="0" applyNumberFormat="1" applyFont="1" applyFill="1" applyBorder="1" applyAlignment="1">
      <alignment horizontal="center" vertical="center"/>
    </xf>
    <xf numFmtId="37" fontId="7" fillId="2" borderId="13" xfId="0" applyNumberFormat="1" applyFont="1" applyFill="1" applyBorder="1" applyAlignment="1">
      <alignment horizontal="center" vertical="center"/>
    </xf>
    <xf numFmtId="37" fontId="7" fillId="2" borderId="15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readingOrder="1"/>
    </xf>
    <xf numFmtId="0" fontId="32" fillId="0" borderId="6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colors>
    <mruColors>
      <color rgb="FF99FF33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Permen 18 thn 2020'!$C$8:$C$9</c:f>
              <c:strCache>
                <c:ptCount val="2"/>
                <c:pt idx="0">
                  <c:v>Masalah Sosial</c:v>
                </c:pt>
                <c:pt idx="1">
                  <c:v>Penyandang 
Disabilitas 
Terlantar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Permen 18 thn 2020'!$B$10:$B$19</c:f>
              <c:strCache>
                <c:ptCount val="10"/>
                <c:pt idx="1">
                  <c:v>Jumlah yang masuk dalam data terpadu FM dan OTM</c:v>
                </c:pt>
                <c:pt idx="2">
                  <c:v>Jumlah yang dijangkau</c:v>
                </c:pt>
                <c:pt idx="3">
                  <c:v>Jumlah yang menerima paket permakanan sesuai standar</c:v>
                </c:pt>
                <c:pt idx="4">
                  <c:v>Jumlah yang menerima paket sandang</c:v>
                </c:pt>
                <c:pt idx="5">
                  <c:v>Jumlah yang memanfaatkan alat bantu</c:v>
                </c:pt>
                <c:pt idx="6">
                  <c:v>Jumlah yang mendapatkan akses layanan pendidikan dan kesehatan dasar</c:v>
                </c:pt>
                <c:pt idx="7">
                  <c:v>Jumlah yang mendapatkan bimbingan fisik, mental dan sosial sesuai standar di keluarga, masyarakat, Dinas Sosial, Rumah Singgah/Shelter dan/atau Pusat Kesejahteraan Sosial</c:v>
                </c:pt>
                <c:pt idx="8">
                  <c:v>Jumlah yang difasilitasi untuk mendapatkan dokumen kependudukan</c:v>
                </c:pt>
                <c:pt idx="9">
                  <c:v>Jumlah yang dirujuk</c:v>
                </c:pt>
              </c:strCache>
            </c:strRef>
          </c:cat>
          <c:val>
            <c:numRef>
              <c:f>' Permen 18 thn 2020'!$C$10:$C$19</c:f>
              <c:numCache>
                <c:formatCode>General</c:formatCode>
                <c:ptCount val="10"/>
                <c:pt idx="1">
                  <c:v>87</c:v>
                </c:pt>
                <c:pt idx="2">
                  <c:v>268</c:v>
                </c:pt>
                <c:pt idx="3">
                  <c:v>42</c:v>
                </c:pt>
                <c:pt idx="5">
                  <c:v>21</c:v>
                </c:pt>
                <c:pt idx="6">
                  <c:v>8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6-4827-9946-E85B5B7E95D7}"/>
            </c:ext>
          </c:extLst>
        </c:ser>
        <c:ser>
          <c:idx val="1"/>
          <c:order val="1"/>
          <c:tx>
            <c:strRef>
              <c:f>' Permen 18 thn 2020'!$D$8:$D$9</c:f>
              <c:strCache>
                <c:ptCount val="2"/>
                <c:pt idx="0">
                  <c:v>Masalah Sosial</c:v>
                </c:pt>
                <c:pt idx="1">
                  <c:v>Anak 
Terlantar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 Permen 18 thn 2020'!$B$10:$B$19</c:f>
              <c:strCache>
                <c:ptCount val="10"/>
                <c:pt idx="1">
                  <c:v>Jumlah yang masuk dalam data terpadu FM dan OTM</c:v>
                </c:pt>
                <c:pt idx="2">
                  <c:v>Jumlah yang dijangkau</c:v>
                </c:pt>
                <c:pt idx="3">
                  <c:v>Jumlah yang menerima paket permakanan sesuai standar</c:v>
                </c:pt>
                <c:pt idx="4">
                  <c:v>Jumlah yang menerima paket sandang</c:v>
                </c:pt>
                <c:pt idx="5">
                  <c:v>Jumlah yang memanfaatkan alat bantu</c:v>
                </c:pt>
                <c:pt idx="6">
                  <c:v>Jumlah yang mendapatkan akses layanan pendidikan dan kesehatan dasar</c:v>
                </c:pt>
                <c:pt idx="7">
                  <c:v>Jumlah yang mendapatkan bimbingan fisik, mental dan sosial sesuai standar di keluarga, masyarakat, Dinas Sosial, Rumah Singgah/Shelter dan/atau Pusat Kesejahteraan Sosial</c:v>
                </c:pt>
                <c:pt idx="8">
                  <c:v>Jumlah yang difasilitasi untuk mendapatkan dokumen kependudukan</c:v>
                </c:pt>
                <c:pt idx="9">
                  <c:v>Jumlah yang dirujuk</c:v>
                </c:pt>
              </c:strCache>
            </c:strRef>
          </c:cat>
          <c:val>
            <c:numRef>
              <c:f>' Permen 18 thn 2020'!$D$10:$D$19</c:f>
              <c:numCache>
                <c:formatCode>General</c:formatCode>
                <c:ptCount val="10"/>
                <c:pt idx="1">
                  <c:v>100</c:v>
                </c:pt>
                <c:pt idx="2">
                  <c:v>444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6-4827-9946-E85B5B7E95D7}"/>
            </c:ext>
          </c:extLst>
        </c:ser>
        <c:ser>
          <c:idx val="2"/>
          <c:order val="2"/>
          <c:tx>
            <c:strRef>
              <c:f>' Permen 18 thn 2020'!$E$8:$E$9</c:f>
              <c:strCache>
                <c:ptCount val="2"/>
                <c:pt idx="0">
                  <c:v>Masalah Sosial</c:v>
                </c:pt>
                <c:pt idx="1">
                  <c:v>Lanjut 
Usia 
Terlantar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 Permen 18 thn 2020'!$B$10:$B$19</c:f>
              <c:strCache>
                <c:ptCount val="10"/>
                <c:pt idx="1">
                  <c:v>Jumlah yang masuk dalam data terpadu FM dan OTM</c:v>
                </c:pt>
                <c:pt idx="2">
                  <c:v>Jumlah yang dijangkau</c:v>
                </c:pt>
                <c:pt idx="3">
                  <c:v>Jumlah yang menerima paket permakanan sesuai standar</c:v>
                </c:pt>
                <c:pt idx="4">
                  <c:v>Jumlah yang menerima paket sandang</c:v>
                </c:pt>
                <c:pt idx="5">
                  <c:v>Jumlah yang memanfaatkan alat bantu</c:v>
                </c:pt>
                <c:pt idx="6">
                  <c:v>Jumlah yang mendapatkan akses layanan pendidikan dan kesehatan dasar</c:v>
                </c:pt>
                <c:pt idx="7">
                  <c:v>Jumlah yang mendapatkan bimbingan fisik, mental dan sosial sesuai standar di keluarga, masyarakat, Dinas Sosial, Rumah Singgah/Shelter dan/atau Pusat Kesejahteraan Sosial</c:v>
                </c:pt>
                <c:pt idx="8">
                  <c:v>Jumlah yang difasilitasi untuk mendapatkan dokumen kependudukan</c:v>
                </c:pt>
                <c:pt idx="9">
                  <c:v>Jumlah yang dirujuk</c:v>
                </c:pt>
              </c:strCache>
            </c:strRef>
          </c:cat>
          <c:val>
            <c:numRef>
              <c:f>' Permen 18 thn 2020'!$E$10:$E$19</c:f>
              <c:numCache>
                <c:formatCode>General</c:formatCode>
                <c:ptCount val="10"/>
                <c:pt idx="1">
                  <c:v>20</c:v>
                </c:pt>
                <c:pt idx="2">
                  <c:v>154</c:v>
                </c:pt>
                <c:pt idx="3">
                  <c:v>63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6-4827-9946-E85B5B7E95D7}"/>
            </c:ext>
          </c:extLst>
        </c:ser>
        <c:ser>
          <c:idx val="3"/>
          <c:order val="3"/>
          <c:tx>
            <c:strRef>
              <c:f>' Permen 18 thn 2020'!$F$8:$F$9</c:f>
              <c:strCache>
                <c:ptCount val="2"/>
                <c:pt idx="0">
                  <c:v>Masalah Sosial</c:v>
                </c:pt>
                <c:pt idx="1">
                  <c:v>Gepeng 
(Gelandangan Pengemis)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 Permen 18 thn 2020'!$B$10:$B$19</c:f>
              <c:strCache>
                <c:ptCount val="10"/>
                <c:pt idx="1">
                  <c:v>Jumlah yang masuk dalam data terpadu FM dan OTM</c:v>
                </c:pt>
                <c:pt idx="2">
                  <c:v>Jumlah yang dijangkau</c:v>
                </c:pt>
                <c:pt idx="3">
                  <c:v>Jumlah yang menerima paket permakanan sesuai standar</c:v>
                </c:pt>
                <c:pt idx="4">
                  <c:v>Jumlah yang menerima paket sandang</c:v>
                </c:pt>
                <c:pt idx="5">
                  <c:v>Jumlah yang memanfaatkan alat bantu</c:v>
                </c:pt>
                <c:pt idx="6">
                  <c:v>Jumlah yang mendapatkan akses layanan pendidikan dan kesehatan dasar</c:v>
                </c:pt>
                <c:pt idx="7">
                  <c:v>Jumlah yang mendapatkan bimbingan fisik, mental dan sosial sesuai standar di keluarga, masyarakat, Dinas Sosial, Rumah Singgah/Shelter dan/atau Pusat Kesejahteraan Sosial</c:v>
                </c:pt>
                <c:pt idx="8">
                  <c:v>Jumlah yang difasilitasi untuk mendapatkan dokumen kependudukan</c:v>
                </c:pt>
                <c:pt idx="9">
                  <c:v>Jumlah yang dirujuk</c:v>
                </c:pt>
              </c:strCache>
            </c:strRef>
          </c:cat>
          <c:val>
            <c:numRef>
              <c:f>' Permen 18 thn 2020'!$F$10:$F$19</c:f>
              <c:numCache>
                <c:formatCode>General</c:formatCode>
                <c:ptCount val="10"/>
                <c:pt idx="1">
                  <c:v>10</c:v>
                </c:pt>
                <c:pt idx="2">
                  <c:v>30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6-4827-9946-E85B5B7E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5931888"/>
        <c:axId val="1535944784"/>
        <c:axId val="0"/>
      </c:bar3DChart>
      <c:catAx>
        <c:axId val="15359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44784"/>
        <c:crosses val="autoZero"/>
        <c:auto val="1"/>
        <c:lblAlgn val="ctr"/>
        <c:lblOffset val="100"/>
        <c:noMultiLvlLbl val="0"/>
      </c:catAx>
      <c:valAx>
        <c:axId val="15359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Sheet1!$C$4:$C$6</c:f>
              <c:strCache>
                <c:ptCount val="3"/>
                <c:pt idx="0">
                  <c:v>JUMLAH KPM</c:v>
                </c:pt>
                <c:pt idx="2">
                  <c:v>TAHAP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Sheet1!$B$7:$B$19</c:f>
              <c:strCache>
                <c:ptCount val="13"/>
                <c:pt idx="0">
                  <c:v>PANGKAJENE</c:v>
                </c:pt>
                <c:pt idx="1">
                  <c:v>MINASATENE</c:v>
                </c:pt>
                <c:pt idx="2">
                  <c:v>BUNGORO</c:v>
                </c:pt>
                <c:pt idx="3">
                  <c:v>LABAKKANG</c:v>
                </c:pt>
                <c:pt idx="4">
                  <c:v>MA'RANG</c:v>
                </c:pt>
                <c:pt idx="5">
                  <c:v>SEGERI</c:v>
                </c:pt>
                <c:pt idx="6">
                  <c:v>MANDALLE</c:v>
                </c:pt>
                <c:pt idx="7">
                  <c:v>TONDONG TALLASA</c:v>
                </c:pt>
                <c:pt idx="8">
                  <c:v>BALOCCI</c:v>
                </c:pt>
                <c:pt idx="9">
                  <c:v>LIUKANG TUPABIRING</c:v>
                </c:pt>
                <c:pt idx="10">
                  <c:v>LIUKANG TUPABIRING UTARA</c:v>
                </c:pt>
                <c:pt idx="11">
                  <c:v>LIUKANG TANGAYA</c:v>
                </c:pt>
                <c:pt idx="12">
                  <c:v>LIUKANG KALMAS</c:v>
                </c:pt>
              </c:strCache>
            </c:strRef>
          </c:cat>
          <c:val>
            <c:numRef>
              <c:f>Sheet1!$C$7:$C$19</c:f>
              <c:numCache>
                <c:formatCode>_(* #,##0_);_(* \(#,##0\);_(* "-"_);_(@_)</c:formatCode>
                <c:ptCount val="13"/>
                <c:pt idx="0">
                  <c:v>932</c:v>
                </c:pt>
                <c:pt idx="1">
                  <c:v>1321</c:v>
                </c:pt>
                <c:pt idx="2">
                  <c:v>1410</c:v>
                </c:pt>
                <c:pt idx="3">
                  <c:v>2616</c:v>
                </c:pt>
                <c:pt idx="4">
                  <c:v>1420</c:v>
                </c:pt>
                <c:pt idx="5">
                  <c:v>899</c:v>
                </c:pt>
                <c:pt idx="6">
                  <c:v>690</c:v>
                </c:pt>
                <c:pt idx="7">
                  <c:v>878</c:v>
                </c:pt>
                <c:pt idx="8">
                  <c:v>784</c:v>
                </c:pt>
                <c:pt idx="9">
                  <c:v>1544</c:v>
                </c:pt>
                <c:pt idx="10">
                  <c:v>855</c:v>
                </c:pt>
                <c:pt idx="11">
                  <c:v>1367</c:v>
                </c:pt>
                <c:pt idx="12">
                  <c:v>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2-440A-BBD1-A7CFED47BFED}"/>
            </c:ext>
          </c:extLst>
        </c:ser>
        <c:ser>
          <c:idx val="1"/>
          <c:order val="1"/>
          <c:tx>
            <c:strRef>
              <c:f>Sheet1!$D$4:$D$6</c:f>
              <c:strCache>
                <c:ptCount val="3"/>
                <c:pt idx="0">
                  <c:v>JUMLAH KPM</c:v>
                </c:pt>
                <c:pt idx="2">
                  <c:v>TAHAP 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Sheet1!$B$7:$B$19</c:f>
              <c:strCache>
                <c:ptCount val="13"/>
                <c:pt idx="0">
                  <c:v>PANGKAJENE</c:v>
                </c:pt>
                <c:pt idx="1">
                  <c:v>MINASATENE</c:v>
                </c:pt>
                <c:pt idx="2">
                  <c:v>BUNGORO</c:v>
                </c:pt>
                <c:pt idx="3">
                  <c:v>LABAKKANG</c:v>
                </c:pt>
                <c:pt idx="4">
                  <c:v>MA'RANG</c:v>
                </c:pt>
                <c:pt idx="5">
                  <c:v>SEGERI</c:v>
                </c:pt>
                <c:pt idx="6">
                  <c:v>MANDALLE</c:v>
                </c:pt>
                <c:pt idx="7">
                  <c:v>TONDONG TALLASA</c:v>
                </c:pt>
                <c:pt idx="8">
                  <c:v>BALOCCI</c:v>
                </c:pt>
                <c:pt idx="9">
                  <c:v>LIUKANG TUPABIRING</c:v>
                </c:pt>
                <c:pt idx="10">
                  <c:v>LIUKANG TUPABIRING UTARA</c:v>
                </c:pt>
                <c:pt idx="11">
                  <c:v>LIUKANG TANGAYA</c:v>
                </c:pt>
                <c:pt idx="12">
                  <c:v>LIUKANG KALMAS</c:v>
                </c:pt>
              </c:strCache>
            </c:strRef>
          </c:cat>
          <c:val>
            <c:numRef>
              <c:f>Sheet1!$D$7:$D$19</c:f>
              <c:numCache>
                <c:formatCode>_(* #,##0_);_(* \(#,##0\);_(* "-"_);_(@_)</c:formatCode>
                <c:ptCount val="13"/>
                <c:pt idx="0">
                  <c:v>1222</c:v>
                </c:pt>
                <c:pt idx="1">
                  <c:v>1708</c:v>
                </c:pt>
                <c:pt idx="2">
                  <c:v>1615</c:v>
                </c:pt>
                <c:pt idx="3">
                  <c:v>2958</c:v>
                </c:pt>
                <c:pt idx="4">
                  <c:v>1563</c:v>
                </c:pt>
                <c:pt idx="5">
                  <c:v>969</c:v>
                </c:pt>
                <c:pt idx="6">
                  <c:v>731</c:v>
                </c:pt>
                <c:pt idx="7">
                  <c:v>1013</c:v>
                </c:pt>
                <c:pt idx="8">
                  <c:v>916</c:v>
                </c:pt>
                <c:pt idx="9">
                  <c:v>1574</c:v>
                </c:pt>
                <c:pt idx="10">
                  <c:v>978</c:v>
                </c:pt>
                <c:pt idx="11">
                  <c:v>1546</c:v>
                </c:pt>
                <c:pt idx="12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2-440A-BBD1-A7CFED47BFED}"/>
            </c:ext>
          </c:extLst>
        </c:ser>
        <c:ser>
          <c:idx val="2"/>
          <c:order val="2"/>
          <c:tx>
            <c:strRef>
              <c:f>Sheet1!$E$4:$E$6</c:f>
              <c:strCache>
                <c:ptCount val="3"/>
                <c:pt idx="0">
                  <c:v>JUMLAH KPM</c:v>
                </c:pt>
                <c:pt idx="2">
                  <c:v>TAHAP 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Sheet1!$B$7:$B$19</c:f>
              <c:strCache>
                <c:ptCount val="13"/>
                <c:pt idx="0">
                  <c:v>PANGKAJENE</c:v>
                </c:pt>
                <c:pt idx="1">
                  <c:v>MINASATENE</c:v>
                </c:pt>
                <c:pt idx="2">
                  <c:v>BUNGORO</c:v>
                </c:pt>
                <c:pt idx="3">
                  <c:v>LABAKKANG</c:v>
                </c:pt>
                <c:pt idx="4">
                  <c:v>MA'RANG</c:v>
                </c:pt>
                <c:pt idx="5">
                  <c:v>SEGERI</c:v>
                </c:pt>
                <c:pt idx="6">
                  <c:v>MANDALLE</c:v>
                </c:pt>
                <c:pt idx="7">
                  <c:v>TONDONG TALLASA</c:v>
                </c:pt>
                <c:pt idx="8">
                  <c:v>BALOCCI</c:v>
                </c:pt>
                <c:pt idx="9">
                  <c:v>LIUKANG TUPABIRING</c:v>
                </c:pt>
                <c:pt idx="10">
                  <c:v>LIUKANG TUPABIRING UTARA</c:v>
                </c:pt>
                <c:pt idx="11">
                  <c:v>LIUKANG TANGAYA</c:v>
                </c:pt>
                <c:pt idx="12">
                  <c:v>LIUKANG KALMAS</c:v>
                </c:pt>
              </c:strCache>
            </c:strRef>
          </c:cat>
          <c:val>
            <c:numRef>
              <c:f>Sheet1!$E$7:$E$19</c:f>
              <c:numCache>
                <c:formatCode>_(* #,##0_);_(* \(#,##0\);_(* "-"_);_(@_)</c:formatCode>
                <c:ptCount val="13"/>
                <c:pt idx="0">
                  <c:v>1222</c:v>
                </c:pt>
                <c:pt idx="1">
                  <c:v>1638</c:v>
                </c:pt>
                <c:pt idx="2">
                  <c:v>1795</c:v>
                </c:pt>
                <c:pt idx="3">
                  <c:v>3095</c:v>
                </c:pt>
                <c:pt idx="4">
                  <c:v>1736</c:v>
                </c:pt>
                <c:pt idx="5">
                  <c:v>1075</c:v>
                </c:pt>
                <c:pt idx="6">
                  <c:v>886</c:v>
                </c:pt>
                <c:pt idx="7">
                  <c:v>1036</c:v>
                </c:pt>
                <c:pt idx="8">
                  <c:v>951</c:v>
                </c:pt>
                <c:pt idx="9">
                  <c:v>1726</c:v>
                </c:pt>
                <c:pt idx="10">
                  <c:v>1048</c:v>
                </c:pt>
                <c:pt idx="11">
                  <c:v>1459</c:v>
                </c:pt>
                <c:pt idx="12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2-440A-BBD1-A7CFED47BFED}"/>
            </c:ext>
          </c:extLst>
        </c:ser>
        <c:ser>
          <c:idx val="3"/>
          <c:order val="3"/>
          <c:tx>
            <c:strRef>
              <c:f>Sheet1!$F$4:$F$6</c:f>
              <c:strCache>
                <c:ptCount val="3"/>
                <c:pt idx="0">
                  <c:v>JUMLAH KPM</c:v>
                </c:pt>
                <c:pt idx="2">
                  <c:v>TAHAP 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Sheet1!$B$7:$B$19</c:f>
              <c:strCache>
                <c:ptCount val="13"/>
                <c:pt idx="0">
                  <c:v>PANGKAJENE</c:v>
                </c:pt>
                <c:pt idx="1">
                  <c:v>MINASATENE</c:v>
                </c:pt>
                <c:pt idx="2">
                  <c:v>BUNGORO</c:v>
                </c:pt>
                <c:pt idx="3">
                  <c:v>LABAKKANG</c:v>
                </c:pt>
                <c:pt idx="4">
                  <c:v>MA'RANG</c:v>
                </c:pt>
                <c:pt idx="5">
                  <c:v>SEGERI</c:v>
                </c:pt>
                <c:pt idx="6">
                  <c:v>MANDALLE</c:v>
                </c:pt>
                <c:pt idx="7">
                  <c:v>TONDONG TALLASA</c:v>
                </c:pt>
                <c:pt idx="8">
                  <c:v>BALOCCI</c:v>
                </c:pt>
                <c:pt idx="9">
                  <c:v>LIUKANG TUPABIRING</c:v>
                </c:pt>
                <c:pt idx="10">
                  <c:v>LIUKANG TUPABIRING UTARA</c:v>
                </c:pt>
                <c:pt idx="11">
                  <c:v>LIUKANG TANGAYA</c:v>
                </c:pt>
                <c:pt idx="12">
                  <c:v>LIUKANG KALMAS</c:v>
                </c:pt>
              </c:strCache>
            </c:strRef>
          </c:cat>
          <c:val>
            <c:numRef>
              <c:f>Sheet1!$F$7:$F$19</c:f>
              <c:numCache>
                <c:formatCode>_(* #,##0_);_(* \(#,##0\);_(* "-"_);_(@_)</c:formatCode>
                <c:ptCount val="13"/>
                <c:pt idx="0">
                  <c:v>1236</c:v>
                </c:pt>
                <c:pt idx="1">
                  <c:v>1705</c:v>
                </c:pt>
                <c:pt idx="2">
                  <c:v>1872</c:v>
                </c:pt>
                <c:pt idx="3">
                  <c:v>3214</c:v>
                </c:pt>
                <c:pt idx="4">
                  <c:v>1784</c:v>
                </c:pt>
                <c:pt idx="5">
                  <c:v>1156</c:v>
                </c:pt>
                <c:pt idx="6">
                  <c:v>909</c:v>
                </c:pt>
                <c:pt idx="7">
                  <c:v>1079</c:v>
                </c:pt>
                <c:pt idx="8">
                  <c:v>983</c:v>
                </c:pt>
                <c:pt idx="9">
                  <c:v>1765</c:v>
                </c:pt>
                <c:pt idx="10">
                  <c:v>1067</c:v>
                </c:pt>
                <c:pt idx="11">
                  <c:v>144</c:v>
                </c:pt>
                <c:pt idx="12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2-440A-BBD1-A7CFED47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805008"/>
        <c:axId val="2068803760"/>
      </c:barChart>
      <c:catAx>
        <c:axId val="20688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03760"/>
        <c:crosses val="autoZero"/>
        <c:auto val="1"/>
        <c:lblAlgn val="ctr"/>
        <c:lblOffset val="100"/>
        <c:noMultiLvlLbl val="0"/>
      </c:catAx>
      <c:valAx>
        <c:axId val="20688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146538</xdr:colOff>
      <xdr:row>0</xdr:row>
      <xdr:rowOff>31401</xdr:rowOff>
    </xdr:from>
    <xdr:to>
      <xdr:col>1</xdr:col>
      <xdr:colOff>780429</xdr:colOff>
      <xdr:row>2</xdr:row>
      <xdr:rowOff>14925</xdr:rowOff>
    </xdr:to>
    <xdr:pic>
      <xdr:nvPicPr>
        <xdr:cNvPr id="10" name="Picture 9" descr="Description: PEMDA PANGKE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868" y="31401"/>
          <a:ext cx="633891" cy="601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1214176</xdr:colOff>
      <xdr:row>3</xdr:row>
      <xdr:rowOff>94203</xdr:rowOff>
    </xdr:from>
    <xdr:to>
      <xdr:col>6</xdr:col>
      <xdr:colOff>502417</xdr:colOff>
      <xdr:row>3</xdr:row>
      <xdr:rowOff>104670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214176" y="900165"/>
          <a:ext cx="8729505" cy="104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0</xdr:row>
      <xdr:rowOff>69501</xdr:rowOff>
    </xdr:from>
    <xdr:to>
      <xdr:col>1</xdr:col>
      <xdr:colOff>962025</xdr:colOff>
      <xdr:row>1</xdr:row>
      <xdr:rowOff>371475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69501"/>
          <a:ext cx="676276" cy="54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</xdr:row>
      <xdr:rowOff>85725</xdr:rowOff>
    </xdr:from>
    <xdr:to>
      <xdr:col>3</xdr:col>
      <xdr:colOff>2638425</xdr:colOff>
      <xdr:row>3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95275" y="895350"/>
          <a:ext cx="77533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0</xdr:row>
      <xdr:rowOff>69501</xdr:rowOff>
    </xdr:from>
    <xdr:to>
      <xdr:col>1</xdr:col>
      <xdr:colOff>962025</xdr:colOff>
      <xdr:row>1</xdr:row>
      <xdr:rowOff>371475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69501"/>
          <a:ext cx="676276" cy="54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</xdr:row>
      <xdr:rowOff>85725</xdr:rowOff>
    </xdr:from>
    <xdr:to>
      <xdr:col>4</xdr:col>
      <xdr:colOff>1974454</xdr:colOff>
      <xdr:row>3</xdr:row>
      <xdr:rowOff>99219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95275" y="889397"/>
          <a:ext cx="8237538" cy="1349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0</xdr:row>
      <xdr:rowOff>69501</xdr:rowOff>
    </xdr:from>
    <xdr:to>
      <xdr:col>1</xdr:col>
      <xdr:colOff>962025</xdr:colOff>
      <xdr:row>1</xdr:row>
      <xdr:rowOff>371475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49" y="69501"/>
          <a:ext cx="676276" cy="54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</xdr:row>
      <xdr:rowOff>85725</xdr:rowOff>
    </xdr:from>
    <xdr:to>
      <xdr:col>5</xdr:col>
      <xdr:colOff>981658</xdr:colOff>
      <xdr:row>3</xdr:row>
      <xdr:rowOff>87474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295275" y="902154"/>
          <a:ext cx="7937046" cy="174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285749</xdr:colOff>
      <xdr:row>76</xdr:row>
      <xdr:rowOff>69501</xdr:rowOff>
    </xdr:from>
    <xdr:to>
      <xdr:col>1</xdr:col>
      <xdr:colOff>962025</xdr:colOff>
      <xdr:row>77</xdr:row>
      <xdr:rowOff>371475</xdr:rowOff>
    </xdr:to>
    <xdr:pic>
      <xdr:nvPicPr>
        <xdr:cNvPr id="4" name="Picture 3" descr="Description: PEMDA PANGKEP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244" y="69501"/>
          <a:ext cx="676276" cy="54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79</xdr:row>
      <xdr:rowOff>85725</xdr:rowOff>
    </xdr:from>
    <xdr:to>
      <xdr:col>5</xdr:col>
      <xdr:colOff>981658</xdr:colOff>
      <xdr:row>79</xdr:row>
      <xdr:rowOff>87474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295275" y="902154"/>
          <a:ext cx="7937046" cy="174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0</xdr:row>
      <xdr:rowOff>69501</xdr:rowOff>
    </xdr:from>
    <xdr:to>
      <xdr:col>1</xdr:col>
      <xdr:colOff>962025</xdr:colOff>
      <xdr:row>1</xdr:row>
      <xdr:rowOff>371475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49" y="69501"/>
          <a:ext cx="676276" cy="54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3</xdr:row>
      <xdr:rowOff>85725</xdr:rowOff>
    </xdr:from>
    <xdr:to>
      <xdr:col>5</xdr:col>
      <xdr:colOff>683558</xdr:colOff>
      <xdr:row>3</xdr:row>
      <xdr:rowOff>112058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257175" y="892549"/>
          <a:ext cx="7710207" cy="263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507999</xdr:colOff>
      <xdr:row>9</xdr:row>
      <xdr:rowOff>206376</xdr:rowOff>
    </xdr:from>
    <xdr:to>
      <xdr:col>26</xdr:col>
      <xdr:colOff>396874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52C97-B1F0-4EAE-9354-2E00D2DA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5</xdr:row>
      <xdr:rowOff>123825</xdr:rowOff>
    </xdr:from>
    <xdr:to>
      <xdr:col>8</xdr:col>
      <xdr:colOff>504824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4F924-C388-7EAF-AF13-F75226563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59977</xdr:rowOff>
    </xdr:from>
    <xdr:to>
      <xdr:col>1</xdr:col>
      <xdr:colOff>180975</xdr:colOff>
      <xdr:row>1</xdr:row>
      <xdr:rowOff>314326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77"/>
          <a:ext cx="428625" cy="49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57150</xdr:rowOff>
    </xdr:from>
    <xdr:to>
      <xdr:col>4</xdr:col>
      <xdr:colOff>0</xdr:colOff>
      <xdr:row>3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0" y="866775"/>
          <a:ext cx="6162675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37"/>
  <sheetViews>
    <sheetView view="pageBreakPreview" topLeftCell="A8" zoomScale="91" zoomScaleSheetLayoutView="91" workbookViewId="0">
      <selection activeCell="D17" sqref="D17"/>
    </sheetView>
  </sheetViews>
  <sheetFormatPr defaultRowHeight="15" x14ac:dyDescent="0.25"/>
  <cols>
    <col min="1" max="1" width="27" customWidth="1"/>
    <col min="2" max="2" width="26.140625" customWidth="1"/>
    <col min="3" max="3" width="22.42578125" bestFit="1" customWidth="1"/>
    <col min="4" max="4" width="19.42578125" customWidth="1"/>
    <col min="5" max="5" width="21" customWidth="1"/>
    <col min="6" max="6" width="25.42578125" customWidth="1"/>
    <col min="7" max="7" width="25.5703125" customWidth="1"/>
    <col min="8" max="8" width="6.42578125" customWidth="1"/>
  </cols>
  <sheetData>
    <row r="1" spans="1:9" ht="18.75" x14ac:dyDescent="0.25">
      <c r="A1" s="161" t="s">
        <v>52</v>
      </c>
      <c r="B1" s="161"/>
      <c r="C1" s="161"/>
      <c r="D1" s="161"/>
      <c r="E1" s="161"/>
      <c r="F1" s="161"/>
      <c r="G1" s="161"/>
    </row>
    <row r="2" spans="1:9" ht="30" x14ac:dyDescent="0.25">
      <c r="A2" s="162" t="s">
        <v>53</v>
      </c>
      <c r="B2" s="162"/>
      <c r="C2" s="162"/>
      <c r="D2" s="162"/>
      <c r="E2" s="162"/>
      <c r="F2" s="162"/>
      <c r="G2" s="162"/>
    </row>
    <row r="3" spans="1:9" x14ac:dyDescent="0.25">
      <c r="A3" s="163" t="s">
        <v>54</v>
      </c>
      <c r="B3" s="163"/>
      <c r="C3" s="163"/>
      <c r="D3" s="163"/>
      <c r="E3" s="163"/>
      <c r="F3" s="163"/>
      <c r="G3" s="163"/>
    </row>
    <row r="7" spans="1:9" ht="18.75" customHeight="1" x14ac:dyDescent="0.25">
      <c r="A7" s="165" t="s">
        <v>11</v>
      </c>
      <c r="B7" s="165"/>
      <c r="C7" s="165"/>
      <c r="D7" s="165"/>
      <c r="E7" s="165"/>
      <c r="F7" s="165"/>
      <c r="G7" s="165"/>
      <c r="I7" s="46"/>
    </row>
    <row r="8" spans="1:9" x14ac:dyDescent="0.25">
      <c r="I8" s="47"/>
    </row>
    <row r="9" spans="1:9" s="8" customFormat="1" ht="23.25" customHeight="1" x14ac:dyDescent="0.25">
      <c r="A9" s="164" t="s">
        <v>1</v>
      </c>
      <c r="B9" s="164" t="s">
        <v>12</v>
      </c>
      <c r="C9" s="164" t="s">
        <v>13</v>
      </c>
      <c r="D9" s="164" t="s">
        <v>14</v>
      </c>
      <c r="E9" s="164" t="s">
        <v>15</v>
      </c>
      <c r="F9" s="164"/>
      <c r="G9" s="164"/>
      <c r="I9" s="46"/>
    </row>
    <row r="10" spans="1:9" s="8" customFormat="1" ht="26.25" customHeight="1" x14ac:dyDescent="0.25">
      <c r="A10" s="164"/>
      <c r="B10" s="164"/>
      <c r="C10" s="164"/>
      <c r="D10" s="164"/>
      <c r="E10" s="22" t="s">
        <v>16</v>
      </c>
      <c r="F10" s="22" t="s">
        <v>17</v>
      </c>
      <c r="G10" s="22" t="s">
        <v>18</v>
      </c>
    </row>
    <row r="11" spans="1:9" s="8" customFormat="1" ht="15" customHeight="1" x14ac:dyDescent="0.25">
      <c r="A11" s="36">
        <v>1</v>
      </c>
      <c r="B11" s="36">
        <v>2</v>
      </c>
      <c r="C11" s="36">
        <v>3</v>
      </c>
      <c r="D11" s="36">
        <v>4</v>
      </c>
      <c r="E11" s="36">
        <v>5</v>
      </c>
      <c r="F11" s="36">
        <v>6</v>
      </c>
      <c r="G11" s="36">
        <v>7</v>
      </c>
    </row>
    <row r="12" spans="1:9" ht="39.75" customHeight="1" x14ac:dyDescent="0.25">
      <c r="A12" s="62" t="s">
        <v>55</v>
      </c>
      <c r="B12" s="63" t="s">
        <v>56</v>
      </c>
      <c r="C12" s="64" t="s">
        <v>57</v>
      </c>
      <c r="D12" s="65" t="s">
        <v>58</v>
      </c>
      <c r="E12" s="65">
        <v>7</v>
      </c>
      <c r="F12" s="65">
        <v>64</v>
      </c>
      <c r="G12" s="38"/>
    </row>
    <row r="13" spans="1:9" ht="42" customHeight="1" x14ac:dyDescent="0.25">
      <c r="A13" s="66" t="s">
        <v>55</v>
      </c>
      <c r="B13" s="67" t="s">
        <v>59</v>
      </c>
      <c r="C13" s="68" t="s">
        <v>60</v>
      </c>
      <c r="D13" s="69" t="s">
        <v>58</v>
      </c>
      <c r="E13" s="69">
        <v>9</v>
      </c>
      <c r="F13" s="69">
        <v>79</v>
      </c>
      <c r="G13" s="40"/>
    </row>
    <row r="14" spans="1:9" ht="44.25" customHeight="1" x14ac:dyDescent="0.25">
      <c r="A14" s="70" t="s">
        <v>61</v>
      </c>
      <c r="B14" s="71" t="s">
        <v>62</v>
      </c>
      <c r="C14" s="72" t="s">
        <v>63</v>
      </c>
      <c r="D14" s="73" t="s">
        <v>58</v>
      </c>
      <c r="E14" s="73">
        <v>3</v>
      </c>
      <c r="F14" s="73">
        <v>39</v>
      </c>
      <c r="G14" s="51"/>
    </row>
    <row r="15" spans="1:9" ht="44.25" customHeight="1" x14ac:dyDescent="0.25">
      <c r="A15" s="70" t="s">
        <v>55</v>
      </c>
      <c r="B15" s="145" t="s">
        <v>150</v>
      </c>
      <c r="C15" s="72" t="s">
        <v>151</v>
      </c>
      <c r="D15" s="73" t="s">
        <v>58</v>
      </c>
      <c r="E15" s="73">
        <v>10</v>
      </c>
      <c r="F15" s="73">
        <v>19</v>
      </c>
      <c r="G15" s="140">
        <v>26</v>
      </c>
    </row>
    <row r="16" spans="1:9" ht="50.25" customHeight="1" x14ac:dyDescent="0.25">
      <c r="A16" s="70" t="s">
        <v>96</v>
      </c>
      <c r="B16" s="71" t="s">
        <v>152</v>
      </c>
      <c r="C16" s="72" t="s">
        <v>153</v>
      </c>
      <c r="D16" s="73" t="s">
        <v>58</v>
      </c>
      <c r="E16" s="73">
        <v>3</v>
      </c>
      <c r="F16" s="73"/>
      <c r="G16" s="140">
        <v>65</v>
      </c>
    </row>
    <row r="17" spans="1:7" ht="15.75" customHeight="1" x14ac:dyDescent="0.25">
      <c r="A17" s="59"/>
      <c r="B17" s="60"/>
      <c r="C17" s="61"/>
      <c r="D17" s="61"/>
      <c r="E17" s="61"/>
      <c r="F17" s="61"/>
      <c r="G17" s="61"/>
    </row>
    <row r="18" spans="1:7" ht="15.75" customHeight="1" x14ac:dyDescent="0.25">
      <c r="A18" s="52"/>
      <c r="B18" s="53"/>
      <c r="C18" s="54"/>
      <c r="D18" s="54"/>
      <c r="E18" s="54"/>
      <c r="F18" s="166" t="s">
        <v>67</v>
      </c>
      <c r="G18" s="166"/>
    </row>
    <row r="19" spans="1:7" ht="16.5" customHeight="1" x14ac:dyDescent="0.25">
      <c r="A19" s="52"/>
      <c r="B19" s="53"/>
      <c r="C19" s="54"/>
      <c r="D19" s="54"/>
      <c r="E19" s="54"/>
      <c r="F19" s="166" t="s">
        <v>64</v>
      </c>
      <c r="G19" s="166"/>
    </row>
    <row r="20" spans="1:7" ht="15.75" customHeight="1" x14ac:dyDescent="0.25">
      <c r="A20" s="52"/>
      <c r="B20" s="53"/>
      <c r="C20" s="54"/>
      <c r="D20" s="54"/>
      <c r="E20" s="54"/>
      <c r="F20" s="74"/>
      <c r="G20" s="74"/>
    </row>
    <row r="21" spans="1:7" ht="14.25" customHeight="1" x14ac:dyDescent="0.25">
      <c r="A21" s="52"/>
      <c r="B21" s="55"/>
      <c r="C21" s="56"/>
      <c r="D21" s="56"/>
      <c r="E21" s="56"/>
      <c r="F21" s="75"/>
      <c r="G21" s="75"/>
    </row>
    <row r="22" spans="1:7" ht="16.5" customHeight="1" x14ac:dyDescent="0.25">
      <c r="A22" s="52"/>
      <c r="B22" s="53"/>
      <c r="C22" s="54"/>
      <c r="D22" s="54"/>
      <c r="E22" s="54"/>
      <c r="F22" s="74"/>
      <c r="G22" s="74"/>
    </row>
    <row r="23" spans="1:7" ht="15.75" customHeight="1" x14ac:dyDescent="0.25">
      <c r="A23" s="52"/>
      <c r="B23" s="53"/>
      <c r="C23" s="54"/>
      <c r="D23" s="54"/>
      <c r="E23" s="54"/>
      <c r="F23" s="167" t="s">
        <v>65</v>
      </c>
      <c r="G23" s="166"/>
    </row>
    <row r="24" spans="1:7" ht="16.5" customHeight="1" x14ac:dyDescent="0.25">
      <c r="A24" s="52"/>
      <c r="B24" s="55"/>
      <c r="C24" s="56"/>
      <c r="D24" s="56"/>
      <c r="E24" s="56"/>
      <c r="F24" s="168" t="s">
        <v>95</v>
      </c>
      <c r="G24" s="168"/>
    </row>
    <row r="25" spans="1:7" ht="14.25" customHeight="1" x14ac:dyDescent="0.25">
      <c r="A25" s="52"/>
      <c r="B25" s="53"/>
      <c r="C25" s="54"/>
      <c r="D25" s="54"/>
      <c r="E25" s="54"/>
      <c r="F25" s="166" t="s">
        <v>66</v>
      </c>
      <c r="G25" s="166"/>
    </row>
    <row r="26" spans="1:7" ht="14.25" customHeight="1" x14ac:dyDescent="0.25">
      <c r="A26" s="57"/>
      <c r="B26" s="58"/>
      <c r="C26" s="58"/>
      <c r="D26" s="58"/>
      <c r="E26" s="58"/>
      <c r="F26" s="58"/>
      <c r="G26" s="58"/>
    </row>
    <row r="27" spans="1:7" s="11" customFormat="1" ht="15.75" x14ac:dyDescent="0.25">
      <c r="A27" s="9"/>
      <c r="B27" s="9"/>
      <c r="C27" s="10"/>
      <c r="D27" s="10"/>
      <c r="E27" s="10"/>
      <c r="F27" s="10"/>
      <c r="G27" s="10"/>
    </row>
    <row r="28" spans="1:7" ht="15.75" x14ac:dyDescent="0.25">
      <c r="A28" s="1"/>
      <c r="B28" s="4"/>
    </row>
    <row r="29" spans="1:7" ht="15.75" x14ac:dyDescent="0.25">
      <c r="A29" s="1"/>
      <c r="B29" s="4"/>
    </row>
    <row r="30" spans="1:7" ht="15.75" x14ac:dyDescent="0.25">
      <c r="A30" s="1"/>
      <c r="B30" s="1"/>
    </row>
    <row r="31" spans="1:7" ht="15.75" x14ac:dyDescent="0.25">
      <c r="A31" s="1"/>
      <c r="B31" s="1"/>
    </row>
    <row r="32" spans="1:7" ht="15.75" x14ac:dyDescent="0.25">
      <c r="A32" s="1"/>
      <c r="B32" s="1"/>
    </row>
    <row r="33" spans="1:2" ht="15.75" x14ac:dyDescent="0.25">
      <c r="A33" s="1"/>
      <c r="B33" s="2"/>
    </row>
    <row r="34" spans="1:2" ht="15.75" x14ac:dyDescent="0.25">
      <c r="A34" s="1"/>
      <c r="B34" s="3"/>
    </row>
    <row r="35" spans="1:2" ht="15.75" x14ac:dyDescent="0.25">
      <c r="A35" s="1"/>
      <c r="B35" s="1"/>
    </row>
    <row r="36" spans="1:2" ht="15.75" x14ac:dyDescent="0.25">
      <c r="A36" s="1"/>
      <c r="B36" s="1"/>
    </row>
    <row r="37" spans="1:2" ht="15.75" x14ac:dyDescent="0.25">
      <c r="A37" s="1"/>
      <c r="B37" s="1"/>
    </row>
  </sheetData>
  <mergeCells count="14">
    <mergeCell ref="F18:G18"/>
    <mergeCell ref="F19:G19"/>
    <mergeCell ref="F23:G23"/>
    <mergeCell ref="F24:G24"/>
    <mergeCell ref="F25:G25"/>
    <mergeCell ref="A1:G1"/>
    <mergeCell ref="A2:G2"/>
    <mergeCell ref="A3:G3"/>
    <mergeCell ref="E9:G9"/>
    <mergeCell ref="A7:G7"/>
    <mergeCell ref="B9:B10"/>
    <mergeCell ref="C9:C10"/>
    <mergeCell ref="D9:D10"/>
    <mergeCell ref="A9:A10"/>
  </mergeCells>
  <pageMargins left="0.62992125984251968" right="0.23622047244094491" top="0.74803149606299213" bottom="0.35433070866141736" header="0.31496062992125984" footer="0.31496062992125984"/>
  <pageSetup paperSize="5" scale="9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24"/>
  <sheetViews>
    <sheetView view="pageBreakPreview" zoomScaleSheetLayoutView="100" workbookViewId="0">
      <selection activeCell="A5" sqref="A5:D5"/>
    </sheetView>
  </sheetViews>
  <sheetFormatPr defaultRowHeight="15" x14ac:dyDescent="0.25"/>
  <cols>
    <col min="1" max="1" width="7.140625" customWidth="1"/>
    <col min="2" max="2" width="34.5703125" customWidth="1"/>
    <col min="3" max="3" width="37.85546875" customWidth="1"/>
    <col min="4" max="4" width="44.7109375" customWidth="1"/>
  </cols>
  <sheetData>
    <row r="1" spans="1:7" ht="18.75" x14ac:dyDescent="0.25">
      <c r="A1" s="161" t="s">
        <v>52</v>
      </c>
      <c r="B1" s="161"/>
      <c r="C1" s="161"/>
      <c r="D1" s="161"/>
      <c r="E1" s="48"/>
      <c r="F1" s="48"/>
      <c r="G1" s="48"/>
    </row>
    <row r="2" spans="1:7" ht="30" x14ac:dyDescent="0.25">
      <c r="A2" s="162" t="s">
        <v>53</v>
      </c>
      <c r="B2" s="162"/>
      <c r="C2" s="162"/>
      <c r="D2" s="162"/>
      <c r="E2" s="49"/>
      <c r="F2" s="49"/>
      <c r="G2" s="49"/>
    </row>
    <row r="3" spans="1:7" x14ac:dyDescent="0.25">
      <c r="A3" s="163" t="s">
        <v>54</v>
      </c>
      <c r="B3" s="163"/>
      <c r="C3" s="163"/>
      <c r="D3" s="163"/>
      <c r="E3" s="50"/>
      <c r="F3" s="50"/>
      <c r="G3" s="50"/>
    </row>
    <row r="4" spans="1:7" x14ac:dyDescent="0.25">
      <c r="A4" s="171"/>
      <c r="B4" s="171"/>
      <c r="C4" s="171"/>
      <c r="D4" s="171"/>
      <c r="E4" s="78"/>
      <c r="F4" s="78"/>
      <c r="G4" s="78"/>
    </row>
    <row r="5" spans="1:7" ht="38.25" customHeight="1" x14ac:dyDescent="0.25">
      <c r="A5" s="165" t="s">
        <v>20</v>
      </c>
      <c r="B5" s="165"/>
      <c r="C5" s="165"/>
      <c r="D5" s="165"/>
    </row>
    <row r="7" spans="1:7" s="8" customFormat="1" ht="30.75" customHeight="1" x14ac:dyDescent="0.25">
      <c r="A7" s="164" t="s">
        <v>0</v>
      </c>
      <c r="B7" s="164" t="s">
        <v>1</v>
      </c>
      <c r="C7" s="164" t="s">
        <v>19</v>
      </c>
      <c r="D7" s="164" t="s">
        <v>21</v>
      </c>
    </row>
    <row r="8" spans="1:7" s="8" customFormat="1" ht="35.25" customHeight="1" x14ac:dyDescent="0.25">
      <c r="A8" s="164"/>
      <c r="B8" s="164"/>
      <c r="C8" s="164"/>
      <c r="D8" s="164"/>
    </row>
    <row r="9" spans="1:7" ht="10.5" customHeight="1" x14ac:dyDescent="0.25">
      <c r="A9" s="23">
        <v>1</v>
      </c>
      <c r="B9" s="23">
        <v>2</v>
      </c>
      <c r="C9" s="23">
        <v>3</v>
      </c>
      <c r="D9" s="23">
        <v>4</v>
      </c>
    </row>
    <row r="10" spans="1:7" ht="27.75" customHeight="1" x14ac:dyDescent="0.25">
      <c r="A10" s="80">
        <v>1</v>
      </c>
      <c r="B10" s="81" t="s">
        <v>61</v>
      </c>
      <c r="C10" s="80" t="s">
        <v>68</v>
      </c>
      <c r="D10" s="80">
        <v>1</v>
      </c>
    </row>
    <row r="11" spans="1:7" ht="27.75" customHeight="1" x14ac:dyDescent="0.25">
      <c r="A11" s="43">
        <v>2</v>
      </c>
      <c r="B11" s="82" t="s">
        <v>61</v>
      </c>
      <c r="C11" s="83" t="s">
        <v>69</v>
      </c>
      <c r="D11" s="83">
        <v>1</v>
      </c>
    </row>
    <row r="12" spans="1:7" ht="27.75" customHeight="1" x14ac:dyDescent="0.25">
      <c r="A12" s="169" t="s">
        <v>8</v>
      </c>
      <c r="B12" s="170"/>
      <c r="C12" s="5"/>
      <c r="D12" s="77">
        <v>2</v>
      </c>
    </row>
    <row r="13" spans="1:7" s="11" customFormat="1" ht="15.75" x14ac:dyDescent="0.25">
      <c r="A13" s="9"/>
      <c r="B13" s="9"/>
      <c r="C13" s="10"/>
      <c r="D13" s="84" t="s">
        <v>50</v>
      </c>
    </row>
    <row r="14" spans="1:7" s="11" customFormat="1" ht="15.75" x14ac:dyDescent="0.25">
      <c r="A14" s="9"/>
      <c r="B14" s="9"/>
      <c r="C14" s="10"/>
      <c r="D14" s="85" t="s">
        <v>49</v>
      </c>
    </row>
    <row r="15" spans="1:7" ht="15.75" x14ac:dyDescent="0.25">
      <c r="A15" s="1"/>
      <c r="B15" s="4"/>
      <c r="D15" s="86" t="s">
        <v>64</v>
      </c>
    </row>
    <row r="16" spans="1:7" ht="15.75" x14ac:dyDescent="0.25">
      <c r="A16" s="1"/>
      <c r="B16" s="4"/>
      <c r="D16" s="86"/>
    </row>
    <row r="17" spans="1:4" ht="15.75" x14ac:dyDescent="0.25">
      <c r="A17" s="1"/>
      <c r="B17" s="1"/>
      <c r="D17" s="86"/>
    </row>
    <row r="18" spans="1:4" ht="15.75" x14ac:dyDescent="0.25">
      <c r="A18" s="1"/>
      <c r="B18" s="1"/>
      <c r="D18" s="87" t="s">
        <v>70</v>
      </c>
    </row>
    <row r="19" spans="1:4" ht="15.75" x14ac:dyDescent="0.25">
      <c r="A19" s="1"/>
      <c r="B19" s="1"/>
      <c r="D19" s="86" t="s">
        <v>95</v>
      </c>
    </row>
    <row r="20" spans="1:4" ht="15.75" x14ac:dyDescent="0.25">
      <c r="A20" s="1"/>
      <c r="B20" s="2"/>
      <c r="D20" s="86" t="s">
        <v>66</v>
      </c>
    </row>
    <row r="21" spans="1:4" ht="15.75" x14ac:dyDescent="0.25">
      <c r="A21" s="1"/>
      <c r="B21" s="3"/>
    </row>
    <row r="22" spans="1:4" ht="15.75" x14ac:dyDescent="0.25">
      <c r="A22" s="1"/>
      <c r="B22" s="1"/>
    </row>
    <row r="23" spans="1:4" ht="15.75" x14ac:dyDescent="0.25">
      <c r="A23" s="1"/>
      <c r="B23" s="1"/>
    </row>
    <row r="24" spans="1:4" ht="15.75" x14ac:dyDescent="0.25">
      <c r="A24" s="1"/>
      <c r="B24" s="1"/>
    </row>
  </sheetData>
  <mergeCells count="10">
    <mergeCell ref="A12:B12"/>
    <mergeCell ref="A4:D4"/>
    <mergeCell ref="A1:D1"/>
    <mergeCell ref="A2:D2"/>
    <mergeCell ref="A3:D3"/>
    <mergeCell ref="A7:A8"/>
    <mergeCell ref="B7:B8"/>
    <mergeCell ref="C7:C8"/>
    <mergeCell ref="D7:D8"/>
    <mergeCell ref="A5:D5"/>
  </mergeCells>
  <pageMargins left="0.51181102362204722" right="0.23622047244094491" top="0.74803149606299213" bottom="0.35433070866141736" header="0.31496062992125984" footer="0.31496062992125984"/>
  <pageSetup paperSize="5" scale="73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E83"/>
  <sheetViews>
    <sheetView view="pageBreakPreview" zoomScale="96" zoomScaleSheetLayoutView="96" workbookViewId="0">
      <selection activeCell="A5" sqref="A5:E5"/>
    </sheetView>
  </sheetViews>
  <sheetFormatPr defaultRowHeight="15" x14ac:dyDescent="0.25"/>
  <cols>
    <col min="1" max="1" width="8" customWidth="1"/>
    <col min="2" max="2" width="36.7109375" customWidth="1"/>
    <col min="3" max="3" width="28.5703125" customWidth="1"/>
    <col min="4" max="4" width="25" customWidth="1"/>
    <col min="5" max="5" width="35.42578125" customWidth="1"/>
  </cols>
  <sheetData>
    <row r="1" spans="1:5" ht="18.75" x14ac:dyDescent="0.25">
      <c r="A1" s="161" t="s">
        <v>52</v>
      </c>
      <c r="B1" s="161"/>
      <c r="C1" s="161"/>
      <c r="D1" s="161"/>
      <c r="E1" s="161"/>
    </row>
    <row r="2" spans="1:5" ht="30" x14ac:dyDescent="0.25">
      <c r="A2" s="162" t="s">
        <v>53</v>
      </c>
      <c r="B2" s="162"/>
      <c r="C2" s="162"/>
      <c r="D2" s="162"/>
      <c r="E2" s="162"/>
    </row>
    <row r="3" spans="1:5" x14ac:dyDescent="0.25">
      <c r="A3" s="163" t="s">
        <v>54</v>
      </c>
      <c r="B3" s="163"/>
      <c r="C3" s="163"/>
      <c r="D3" s="163"/>
      <c r="E3" s="163"/>
    </row>
    <row r="4" spans="1:5" x14ac:dyDescent="0.25">
      <c r="A4" s="171"/>
      <c r="B4" s="171"/>
      <c r="C4" s="171"/>
      <c r="D4" s="171"/>
      <c r="E4" s="171"/>
    </row>
    <row r="5" spans="1:5" ht="38.25" customHeight="1" x14ac:dyDescent="0.25">
      <c r="A5" s="165" t="s">
        <v>22</v>
      </c>
      <c r="B5" s="165"/>
      <c r="C5" s="165"/>
      <c r="D5" s="165"/>
      <c r="E5" s="165"/>
    </row>
    <row r="7" spans="1:5" s="8" customFormat="1" ht="30.75" customHeight="1" x14ac:dyDescent="0.25">
      <c r="A7" s="164" t="s">
        <v>0</v>
      </c>
      <c r="B7" s="164" t="s">
        <v>1</v>
      </c>
      <c r="C7" s="164" t="s">
        <v>19</v>
      </c>
      <c r="D7" s="164" t="s">
        <v>23</v>
      </c>
      <c r="E7" s="164" t="s">
        <v>24</v>
      </c>
    </row>
    <row r="8" spans="1:5" s="8" customFormat="1" ht="35.25" customHeight="1" x14ac:dyDescent="0.25">
      <c r="A8" s="164"/>
      <c r="B8" s="164"/>
      <c r="C8" s="164"/>
      <c r="D8" s="164"/>
      <c r="E8" s="164"/>
    </row>
    <row r="9" spans="1:5" ht="13.5" customHeight="1" x14ac:dyDescent="0.25">
      <c r="A9" s="23">
        <v>1</v>
      </c>
      <c r="B9" s="23">
        <v>2</v>
      </c>
      <c r="C9" s="23">
        <v>3</v>
      </c>
      <c r="D9" s="23">
        <v>4</v>
      </c>
      <c r="E9" s="23">
        <v>5</v>
      </c>
    </row>
    <row r="10" spans="1:5" ht="17.25" customHeight="1" x14ac:dyDescent="0.25">
      <c r="A10" s="182">
        <v>1</v>
      </c>
      <c r="B10" s="182" t="s">
        <v>71</v>
      </c>
      <c r="C10" s="89" t="s">
        <v>72</v>
      </c>
      <c r="D10" s="80">
        <v>4</v>
      </c>
      <c r="E10" s="109" t="s">
        <v>132</v>
      </c>
    </row>
    <row r="11" spans="1:5" ht="17.25" customHeight="1" x14ac:dyDescent="0.25">
      <c r="A11" s="183"/>
      <c r="B11" s="183"/>
      <c r="C11" s="91" t="s">
        <v>73</v>
      </c>
      <c r="D11" s="83">
        <v>1</v>
      </c>
      <c r="E11" s="110" t="s">
        <v>131</v>
      </c>
    </row>
    <row r="12" spans="1:5" ht="17.25" customHeight="1" x14ac:dyDescent="0.25">
      <c r="A12" s="183"/>
      <c r="B12" s="183"/>
      <c r="C12" s="91" t="s">
        <v>74</v>
      </c>
      <c r="D12" s="83">
        <v>3</v>
      </c>
      <c r="E12" s="178" t="s">
        <v>132</v>
      </c>
    </row>
    <row r="13" spans="1:5" ht="17.25" customHeight="1" x14ac:dyDescent="0.25">
      <c r="A13" s="183"/>
      <c r="B13" s="183"/>
      <c r="C13" s="91" t="s">
        <v>75</v>
      </c>
      <c r="D13" s="83">
        <v>1</v>
      </c>
      <c r="E13" s="179"/>
    </row>
    <row r="14" spans="1:5" ht="17.25" customHeight="1" x14ac:dyDescent="0.25">
      <c r="A14" s="183"/>
      <c r="B14" s="183"/>
      <c r="C14" s="91" t="s">
        <v>76</v>
      </c>
      <c r="D14" s="83">
        <v>1</v>
      </c>
      <c r="E14" s="179"/>
    </row>
    <row r="15" spans="1:5" ht="17.25" customHeight="1" x14ac:dyDescent="0.25">
      <c r="A15" s="183"/>
      <c r="B15" s="183"/>
      <c r="C15" s="91" t="s">
        <v>77</v>
      </c>
      <c r="D15" s="83">
        <v>1</v>
      </c>
      <c r="E15" s="180"/>
    </row>
    <row r="16" spans="1:5" ht="17.25" customHeight="1" x14ac:dyDescent="0.25">
      <c r="A16" s="184"/>
      <c r="B16" s="184"/>
      <c r="C16" s="102"/>
      <c r="D16" s="103">
        <f>SUM(D10:D15)</f>
        <v>11</v>
      </c>
      <c r="E16" s="104"/>
    </row>
    <row r="17" spans="1:5" ht="17.25" customHeight="1" x14ac:dyDescent="0.25">
      <c r="A17" s="172">
        <v>2</v>
      </c>
      <c r="B17" s="174" t="s">
        <v>78</v>
      </c>
      <c r="C17" s="101" t="s">
        <v>79</v>
      </c>
      <c r="D17" s="98">
        <v>1</v>
      </c>
      <c r="E17" s="181" t="s">
        <v>132</v>
      </c>
    </row>
    <row r="18" spans="1:5" ht="17.25" customHeight="1" x14ac:dyDescent="0.25">
      <c r="A18" s="176"/>
      <c r="B18" s="177"/>
      <c r="C18" s="91" t="s">
        <v>80</v>
      </c>
      <c r="D18" s="83">
        <v>1</v>
      </c>
      <c r="E18" s="179"/>
    </row>
    <row r="19" spans="1:5" ht="17.25" customHeight="1" x14ac:dyDescent="0.25">
      <c r="A19" s="176"/>
      <c r="B19" s="177"/>
      <c r="C19" s="91" t="s">
        <v>78</v>
      </c>
      <c r="D19" s="83">
        <v>3</v>
      </c>
      <c r="E19" s="179"/>
    </row>
    <row r="20" spans="1:5" ht="17.25" customHeight="1" x14ac:dyDescent="0.25">
      <c r="A20" s="176"/>
      <c r="B20" s="177"/>
      <c r="C20" s="93" t="s">
        <v>81</v>
      </c>
      <c r="D20" s="95">
        <v>3</v>
      </c>
      <c r="E20" s="179"/>
    </row>
    <row r="21" spans="1:5" ht="17.25" customHeight="1" x14ac:dyDescent="0.25">
      <c r="A21" s="176"/>
      <c r="B21" s="177"/>
      <c r="C21" s="91" t="s">
        <v>82</v>
      </c>
      <c r="D21" s="83">
        <v>1</v>
      </c>
      <c r="E21" s="180"/>
    </row>
    <row r="22" spans="1:5" ht="17.25" customHeight="1" x14ac:dyDescent="0.25">
      <c r="A22" s="173"/>
      <c r="B22" s="175"/>
      <c r="C22" s="94"/>
      <c r="D22" s="106">
        <f>SUM(D17:D21)</f>
        <v>9</v>
      </c>
      <c r="E22" s="79"/>
    </row>
    <row r="23" spans="1:5" ht="17.25" customHeight="1" x14ac:dyDescent="0.25">
      <c r="A23" s="172">
        <v>3</v>
      </c>
      <c r="B23" s="174" t="s">
        <v>83</v>
      </c>
      <c r="C23" s="89" t="s">
        <v>84</v>
      </c>
      <c r="D23" s="80">
        <v>1</v>
      </c>
      <c r="E23" s="109" t="s">
        <v>132</v>
      </c>
    </row>
    <row r="24" spans="1:5" ht="17.25" customHeight="1" x14ac:dyDescent="0.25">
      <c r="A24" s="173"/>
      <c r="B24" s="175"/>
      <c r="C24" s="94"/>
      <c r="D24" s="106">
        <v>1</v>
      </c>
      <c r="E24" s="79"/>
    </row>
    <row r="25" spans="1:5" ht="17.25" customHeight="1" x14ac:dyDescent="0.25">
      <c r="A25" s="172">
        <v>4</v>
      </c>
      <c r="B25" s="174" t="s">
        <v>85</v>
      </c>
      <c r="C25" s="107" t="s">
        <v>86</v>
      </c>
      <c r="D25" s="97">
        <v>1</v>
      </c>
      <c r="E25" s="181" t="s">
        <v>132</v>
      </c>
    </row>
    <row r="26" spans="1:5" ht="17.25" customHeight="1" x14ac:dyDescent="0.25">
      <c r="A26" s="176"/>
      <c r="B26" s="177"/>
      <c r="C26" s="91" t="s">
        <v>87</v>
      </c>
      <c r="D26" s="83">
        <v>1</v>
      </c>
      <c r="E26" s="179"/>
    </row>
    <row r="27" spans="1:5" ht="17.25" customHeight="1" x14ac:dyDescent="0.25">
      <c r="A27" s="176"/>
      <c r="B27" s="177"/>
      <c r="C27" s="101" t="s">
        <v>88</v>
      </c>
      <c r="D27" s="98">
        <v>1</v>
      </c>
      <c r="E27" s="180"/>
    </row>
    <row r="28" spans="1:5" ht="17.25" customHeight="1" x14ac:dyDescent="0.25">
      <c r="A28" s="173"/>
      <c r="B28" s="175"/>
      <c r="C28" s="94"/>
      <c r="D28" s="106">
        <f>SUM(D25:D27)</f>
        <v>3</v>
      </c>
      <c r="E28" s="79"/>
    </row>
    <row r="29" spans="1:5" ht="17.25" customHeight="1" x14ac:dyDescent="0.25">
      <c r="A29" s="172">
        <v>5</v>
      </c>
      <c r="B29" s="174" t="s">
        <v>61</v>
      </c>
      <c r="C29" s="89" t="s">
        <v>89</v>
      </c>
      <c r="D29" s="80">
        <v>2</v>
      </c>
      <c r="E29" s="112" t="s">
        <v>132</v>
      </c>
    </row>
    <row r="30" spans="1:5" ht="17.25" customHeight="1" x14ac:dyDescent="0.25">
      <c r="A30" s="176"/>
      <c r="B30" s="177"/>
      <c r="C30" s="107" t="s">
        <v>90</v>
      </c>
      <c r="D30" s="97">
        <v>4</v>
      </c>
      <c r="E30" s="113" t="s">
        <v>133</v>
      </c>
    </row>
    <row r="31" spans="1:5" ht="17.25" customHeight="1" x14ac:dyDescent="0.25">
      <c r="A31" s="176"/>
      <c r="B31" s="177"/>
      <c r="C31" s="91" t="s">
        <v>91</v>
      </c>
      <c r="D31" s="83">
        <v>1</v>
      </c>
      <c r="E31" s="178" t="s">
        <v>132</v>
      </c>
    </row>
    <row r="32" spans="1:5" ht="17.25" customHeight="1" x14ac:dyDescent="0.25">
      <c r="A32" s="176"/>
      <c r="B32" s="177"/>
      <c r="C32" s="107" t="s">
        <v>92</v>
      </c>
      <c r="D32" s="97">
        <v>5</v>
      </c>
      <c r="E32" s="179"/>
    </row>
    <row r="33" spans="1:5" ht="17.25" customHeight="1" x14ac:dyDescent="0.25">
      <c r="A33" s="176"/>
      <c r="B33" s="177"/>
      <c r="C33" s="91" t="s">
        <v>93</v>
      </c>
      <c r="D33" s="83">
        <v>2</v>
      </c>
      <c r="E33" s="179"/>
    </row>
    <row r="34" spans="1:5" ht="17.25" customHeight="1" x14ac:dyDescent="0.25">
      <c r="A34" s="176"/>
      <c r="B34" s="177"/>
      <c r="C34" s="101" t="s">
        <v>94</v>
      </c>
      <c r="D34" s="98">
        <v>1</v>
      </c>
      <c r="E34" s="179"/>
    </row>
    <row r="35" spans="1:5" ht="17.25" customHeight="1" x14ac:dyDescent="0.25">
      <c r="A35" s="176"/>
      <c r="B35" s="177"/>
      <c r="C35" s="101" t="s">
        <v>61</v>
      </c>
      <c r="D35" s="98">
        <v>1</v>
      </c>
      <c r="E35" s="180"/>
    </row>
    <row r="36" spans="1:5" ht="17.25" customHeight="1" x14ac:dyDescent="0.25">
      <c r="A36" s="173"/>
      <c r="B36" s="175"/>
      <c r="C36" s="94"/>
      <c r="D36" s="106">
        <f>SUM(D29:D35)</f>
        <v>16</v>
      </c>
      <c r="E36" s="79"/>
    </row>
    <row r="37" spans="1:5" ht="17.25" customHeight="1" x14ac:dyDescent="0.25">
      <c r="A37" s="172">
        <v>6</v>
      </c>
      <c r="B37" s="174" t="s">
        <v>96</v>
      </c>
      <c r="C37" s="107" t="s">
        <v>97</v>
      </c>
      <c r="D37" s="97">
        <v>2</v>
      </c>
      <c r="E37" s="113" t="s">
        <v>135</v>
      </c>
    </row>
    <row r="38" spans="1:5" ht="17.25" customHeight="1" x14ac:dyDescent="0.25">
      <c r="A38" s="176"/>
      <c r="B38" s="177"/>
      <c r="C38" s="91" t="s">
        <v>98</v>
      </c>
      <c r="D38" s="83">
        <v>1</v>
      </c>
      <c r="E38" s="178" t="s">
        <v>132</v>
      </c>
    </row>
    <row r="39" spans="1:5" ht="17.25" customHeight="1" x14ac:dyDescent="0.25">
      <c r="A39" s="176"/>
      <c r="B39" s="177"/>
      <c r="C39" s="91" t="s">
        <v>96</v>
      </c>
      <c r="D39" s="83">
        <v>2</v>
      </c>
      <c r="E39" s="180"/>
    </row>
    <row r="40" spans="1:5" ht="17.25" customHeight="1" x14ac:dyDescent="0.25">
      <c r="A40" s="173"/>
      <c r="B40" s="175"/>
      <c r="C40" s="94"/>
      <c r="D40" s="106">
        <f>SUM(D37:D39)</f>
        <v>5</v>
      </c>
      <c r="E40" s="79"/>
    </row>
    <row r="41" spans="1:5" ht="17.25" customHeight="1" x14ac:dyDescent="0.25">
      <c r="A41" s="172">
        <v>7</v>
      </c>
      <c r="B41" s="174" t="s">
        <v>99</v>
      </c>
      <c r="C41" s="107" t="s">
        <v>99</v>
      </c>
      <c r="D41" s="97">
        <v>1</v>
      </c>
      <c r="E41" s="113" t="s">
        <v>134</v>
      </c>
    </row>
    <row r="42" spans="1:5" ht="17.25" customHeight="1" x14ac:dyDescent="0.25">
      <c r="A42" s="176"/>
      <c r="B42" s="177"/>
      <c r="C42" s="91" t="s">
        <v>100</v>
      </c>
      <c r="D42" s="83">
        <v>1</v>
      </c>
      <c r="E42" s="111" t="s">
        <v>132</v>
      </c>
    </row>
    <row r="43" spans="1:5" ht="17.25" customHeight="1" x14ac:dyDescent="0.25">
      <c r="A43" s="173"/>
      <c r="B43" s="175"/>
      <c r="C43" s="94"/>
      <c r="D43" s="106">
        <v>2</v>
      </c>
      <c r="E43" s="79"/>
    </row>
    <row r="44" spans="1:5" ht="17.25" customHeight="1" x14ac:dyDescent="0.25">
      <c r="A44" s="172">
        <v>8</v>
      </c>
      <c r="B44" s="174" t="s">
        <v>102</v>
      </c>
      <c r="C44" s="107" t="s">
        <v>103</v>
      </c>
      <c r="D44" s="97">
        <v>3</v>
      </c>
      <c r="E44" s="181" t="s">
        <v>132</v>
      </c>
    </row>
    <row r="45" spans="1:5" ht="17.25" customHeight="1" x14ac:dyDescent="0.25">
      <c r="A45" s="176"/>
      <c r="B45" s="177"/>
      <c r="C45" s="91" t="s">
        <v>104</v>
      </c>
      <c r="D45" s="83">
        <v>1</v>
      </c>
      <c r="E45" s="180"/>
    </row>
    <row r="46" spans="1:5" ht="17.25" customHeight="1" x14ac:dyDescent="0.25">
      <c r="A46" s="173"/>
      <c r="B46" s="175"/>
      <c r="C46" s="94"/>
      <c r="D46" s="106">
        <v>4</v>
      </c>
      <c r="E46" s="79"/>
    </row>
    <row r="47" spans="1:5" ht="17.25" customHeight="1" x14ac:dyDescent="0.25">
      <c r="A47" s="172">
        <v>9</v>
      </c>
      <c r="B47" s="174" t="s">
        <v>105</v>
      </c>
      <c r="C47" s="107" t="s">
        <v>106</v>
      </c>
      <c r="D47" s="97">
        <v>5</v>
      </c>
      <c r="E47" s="181" t="s">
        <v>132</v>
      </c>
    </row>
    <row r="48" spans="1:5" ht="17.25" customHeight="1" x14ac:dyDescent="0.25">
      <c r="A48" s="176"/>
      <c r="B48" s="177"/>
      <c r="C48" s="91" t="s">
        <v>107</v>
      </c>
      <c r="D48" s="83">
        <v>2</v>
      </c>
      <c r="E48" s="179"/>
    </row>
    <row r="49" spans="1:5" ht="17.25" customHeight="1" x14ac:dyDescent="0.25">
      <c r="A49" s="176"/>
      <c r="B49" s="177"/>
      <c r="C49" s="107" t="s">
        <v>108</v>
      </c>
      <c r="D49" s="97">
        <v>1</v>
      </c>
      <c r="E49" s="179"/>
    </row>
    <row r="50" spans="1:5" ht="17.25" customHeight="1" x14ac:dyDescent="0.25">
      <c r="A50" s="176"/>
      <c r="B50" s="177"/>
      <c r="C50" s="91" t="s">
        <v>109</v>
      </c>
      <c r="D50" s="83">
        <v>1</v>
      </c>
      <c r="E50" s="180"/>
    </row>
    <row r="51" spans="1:5" ht="17.25" customHeight="1" x14ac:dyDescent="0.25">
      <c r="A51" s="173"/>
      <c r="B51" s="175"/>
      <c r="C51" s="94"/>
      <c r="D51" s="106">
        <f>SUM(D47:D50)</f>
        <v>9</v>
      </c>
      <c r="E51" s="79"/>
    </row>
    <row r="52" spans="1:5" ht="17.25" customHeight="1" x14ac:dyDescent="0.25">
      <c r="A52" s="172">
        <v>10</v>
      </c>
      <c r="B52" s="174" t="s">
        <v>110</v>
      </c>
      <c r="C52" s="107" t="s">
        <v>111</v>
      </c>
      <c r="D52" s="97">
        <v>4</v>
      </c>
      <c r="E52" s="181" t="s">
        <v>132</v>
      </c>
    </row>
    <row r="53" spans="1:5" ht="17.25" customHeight="1" x14ac:dyDescent="0.25">
      <c r="A53" s="176"/>
      <c r="B53" s="177"/>
      <c r="C53" s="91" t="s">
        <v>112</v>
      </c>
      <c r="D53" s="83">
        <v>1</v>
      </c>
      <c r="E53" s="179"/>
    </row>
    <row r="54" spans="1:5" ht="17.25" customHeight="1" x14ac:dyDescent="0.25">
      <c r="A54" s="176"/>
      <c r="B54" s="177"/>
      <c r="C54" s="91" t="s">
        <v>113</v>
      </c>
      <c r="D54" s="83">
        <v>1</v>
      </c>
      <c r="E54" s="179"/>
    </row>
    <row r="55" spans="1:5" ht="17.25" customHeight="1" x14ac:dyDescent="0.25">
      <c r="A55" s="176"/>
      <c r="B55" s="177"/>
      <c r="C55" s="91" t="s">
        <v>120</v>
      </c>
      <c r="D55" s="83">
        <v>1</v>
      </c>
      <c r="E55" s="179"/>
    </row>
    <row r="56" spans="1:5" ht="17.25" customHeight="1" x14ac:dyDescent="0.25">
      <c r="A56" s="176"/>
      <c r="B56" s="177"/>
      <c r="C56" s="91" t="s">
        <v>121</v>
      </c>
      <c r="D56" s="83">
        <v>2</v>
      </c>
      <c r="E56" s="180"/>
    </row>
    <row r="57" spans="1:5" ht="17.25" customHeight="1" x14ac:dyDescent="0.25">
      <c r="A57" s="173"/>
      <c r="B57" s="175"/>
      <c r="C57" s="94"/>
      <c r="D57" s="106">
        <f>SUM(D52:D56)</f>
        <v>9</v>
      </c>
      <c r="E57" s="79"/>
    </row>
    <row r="58" spans="1:5" ht="17.25" customHeight="1" x14ac:dyDescent="0.25">
      <c r="A58" s="172">
        <v>11</v>
      </c>
      <c r="B58" s="174" t="s">
        <v>114</v>
      </c>
      <c r="C58" s="94" t="s">
        <v>115</v>
      </c>
      <c r="D58" s="96">
        <v>2</v>
      </c>
      <c r="E58" s="114" t="s">
        <v>136</v>
      </c>
    </row>
    <row r="59" spans="1:5" ht="17.25" customHeight="1" x14ac:dyDescent="0.25">
      <c r="A59" s="173"/>
      <c r="B59" s="175"/>
      <c r="C59" s="94"/>
      <c r="D59" s="106">
        <v>2</v>
      </c>
      <c r="E59" s="79"/>
    </row>
    <row r="60" spans="1:5" ht="17.25" customHeight="1" x14ac:dyDescent="0.25">
      <c r="A60" s="172">
        <v>12</v>
      </c>
      <c r="B60" s="174" t="s">
        <v>116</v>
      </c>
      <c r="C60" s="89" t="s">
        <v>117</v>
      </c>
      <c r="D60" s="80">
        <v>1</v>
      </c>
      <c r="E60" s="112" t="s">
        <v>132</v>
      </c>
    </row>
    <row r="61" spans="1:5" ht="17.25" customHeight="1" x14ac:dyDescent="0.25">
      <c r="A61" s="173"/>
      <c r="B61" s="175"/>
      <c r="C61" s="94"/>
      <c r="D61" s="106">
        <v>1</v>
      </c>
      <c r="E61" s="79"/>
    </row>
    <row r="62" spans="1:5" ht="17.25" customHeight="1" x14ac:dyDescent="0.25">
      <c r="A62" s="172">
        <v>13</v>
      </c>
      <c r="B62" s="174" t="s">
        <v>118</v>
      </c>
      <c r="C62" s="89" t="s">
        <v>119</v>
      </c>
      <c r="D62" s="80">
        <v>5</v>
      </c>
      <c r="E62" s="112" t="s">
        <v>133</v>
      </c>
    </row>
    <row r="63" spans="1:5" ht="17.25" customHeight="1" x14ac:dyDescent="0.25">
      <c r="A63" s="176"/>
      <c r="B63" s="177"/>
      <c r="C63" s="91" t="s">
        <v>122</v>
      </c>
      <c r="D63" s="83">
        <v>6</v>
      </c>
      <c r="E63" s="178" t="s">
        <v>132</v>
      </c>
    </row>
    <row r="64" spans="1:5" ht="17.25" customHeight="1" x14ac:dyDescent="0.25">
      <c r="A64" s="176"/>
      <c r="B64" s="177"/>
      <c r="C64" s="91" t="s">
        <v>123</v>
      </c>
      <c r="D64" s="83">
        <v>1</v>
      </c>
      <c r="E64" s="179"/>
    </row>
    <row r="65" spans="1:5" ht="17.25" customHeight="1" x14ac:dyDescent="0.25">
      <c r="A65" s="176"/>
      <c r="B65" s="177"/>
      <c r="C65" s="91" t="s">
        <v>120</v>
      </c>
      <c r="D65" s="83">
        <v>1</v>
      </c>
      <c r="E65" s="180"/>
    </row>
    <row r="66" spans="1:5" ht="17.25" customHeight="1" x14ac:dyDescent="0.25">
      <c r="A66" s="176"/>
      <c r="B66" s="177"/>
      <c r="C66" s="91" t="s">
        <v>124</v>
      </c>
      <c r="D66" s="83">
        <v>4</v>
      </c>
      <c r="E66" s="111" t="s">
        <v>134</v>
      </c>
    </row>
    <row r="67" spans="1:5" ht="17.25" customHeight="1" x14ac:dyDescent="0.25">
      <c r="A67" s="176"/>
      <c r="B67" s="177"/>
      <c r="C67" s="91" t="s">
        <v>125</v>
      </c>
      <c r="D67" s="83">
        <v>2</v>
      </c>
      <c r="E67" s="178" t="s">
        <v>132</v>
      </c>
    </row>
    <row r="68" spans="1:5" ht="17.25" customHeight="1" x14ac:dyDescent="0.25">
      <c r="A68" s="176"/>
      <c r="B68" s="177"/>
      <c r="C68" s="91" t="s">
        <v>126</v>
      </c>
      <c r="D68" s="83">
        <v>1</v>
      </c>
      <c r="E68" s="180"/>
    </row>
    <row r="69" spans="1:5" ht="17.25" customHeight="1" x14ac:dyDescent="0.25">
      <c r="A69" s="176"/>
      <c r="B69" s="177"/>
      <c r="C69" s="91" t="s">
        <v>127</v>
      </c>
      <c r="D69" s="83">
        <v>1</v>
      </c>
      <c r="E69" s="111" t="s">
        <v>134</v>
      </c>
    </row>
    <row r="70" spans="1:5" ht="17.25" customHeight="1" x14ac:dyDescent="0.25">
      <c r="A70" s="176"/>
      <c r="B70" s="177"/>
      <c r="C70" s="91" t="s">
        <v>128</v>
      </c>
      <c r="D70" s="83">
        <v>4</v>
      </c>
      <c r="E70" s="111" t="s">
        <v>132</v>
      </c>
    </row>
    <row r="71" spans="1:5" ht="17.25" customHeight="1" x14ac:dyDescent="0.25">
      <c r="A71" s="173"/>
      <c r="B71" s="175"/>
      <c r="C71" s="79"/>
      <c r="D71" s="108">
        <f>SUM(D62:D70)</f>
        <v>25</v>
      </c>
      <c r="E71" s="79"/>
    </row>
    <row r="72" spans="1:5" ht="17.25" customHeight="1" x14ac:dyDescent="0.25">
      <c r="A72" s="7" t="s">
        <v>8</v>
      </c>
      <c r="B72" s="5"/>
      <c r="C72" s="5"/>
      <c r="D72" s="146">
        <f>D16+D22+D24+D28+D36+D40+D43+D46+D51+D57+D59+D61+D71</f>
        <v>97</v>
      </c>
      <c r="E72" s="5"/>
    </row>
    <row r="73" spans="1:5" s="11" customFormat="1" ht="15.75" x14ac:dyDescent="0.25">
      <c r="A73" s="9"/>
      <c r="B73" s="9"/>
      <c r="C73" s="10"/>
      <c r="D73" s="10"/>
      <c r="E73" s="10" t="s">
        <v>50</v>
      </c>
    </row>
    <row r="74" spans="1:5" ht="15.75" x14ac:dyDescent="0.25">
      <c r="A74" s="1"/>
      <c r="B74" s="4"/>
      <c r="E74" s="24" t="s">
        <v>49</v>
      </c>
    </row>
    <row r="75" spans="1:5" ht="15.75" x14ac:dyDescent="0.25">
      <c r="A75" s="1"/>
      <c r="B75" s="4"/>
      <c r="E75" s="25" t="s">
        <v>129</v>
      </c>
    </row>
    <row r="76" spans="1:5" ht="15.75" x14ac:dyDescent="0.25">
      <c r="A76" s="1"/>
      <c r="B76" s="1"/>
      <c r="E76" s="25"/>
    </row>
    <row r="77" spans="1:5" ht="15.75" x14ac:dyDescent="0.25">
      <c r="A77" s="1"/>
      <c r="B77" s="1"/>
      <c r="E77" s="25"/>
    </row>
    <row r="78" spans="1:5" ht="15.75" x14ac:dyDescent="0.25">
      <c r="A78" s="1"/>
      <c r="B78" s="1"/>
      <c r="E78" s="88" t="s">
        <v>65</v>
      </c>
    </row>
    <row r="79" spans="1:5" ht="15.75" x14ac:dyDescent="0.25">
      <c r="A79" s="1"/>
      <c r="B79" s="2"/>
      <c r="E79" s="76" t="s">
        <v>130</v>
      </c>
    </row>
    <row r="80" spans="1:5" ht="15.75" x14ac:dyDescent="0.25">
      <c r="A80" s="1"/>
      <c r="B80" s="3"/>
      <c r="E80" s="76" t="s">
        <v>66</v>
      </c>
    </row>
    <row r="81" spans="1:2" ht="15.75" x14ac:dyDescent="0.25">
      <c r="A81" s="1"/>
      <c r="B81" s="1"/>
    </row>
    <row r="82" spans="1:2" ht="15.75" x14ac:dyDescent="0.25">
      <c r="A82" s="1"/>
      <c r="B82" s="1"/>
    </row>
    <row r="83" spans="1:2" ht="15.75" x14ac:dyDescent="0.25">
      <c r="A83" s="1"/>
      <c r="B83" s="1"/>
    </row>
  </sheetData>
  <mergeCells count="46">
    <mergeCell ref="C7:C8"/>
    <mergeCell ref="E7:E8"/>
    <mergeCell ref="D7:D8"/>
    <mergeCell ref="A1:E1"/>
    <mergeCell ref="A2:E2"/>
    <mergeCell ref="A3:E3"/>
    <mergeCell ref="A4:E4"/>
    <mergeCell ref="A5:E5"/>
    <mergeCell ref="B10:B16"/>
    <mergeCell ref="A10:A16"/>
    <mergeCell ref="A17:A22"/>
    <mergeCell ref="B17:B22"/>
    <mergeCell ref="A7:A8"/>
    <mergeCell ref="B7:B8"/>
    <mergeCell ref="A23:A24"/>
    <mergeCell ref="B23:B24"/>
    <mergeCell ref="A25:A28"/>
    <mergeCell ref="B25:B28"/>
    <mergeCell ref="A29:A36"/>
    <mergeCell ref="B29:B36"/>
    <mergeCell ref="A52:A57"/>
    <mergeCell ref="B52:B57"/>
    <mergeCell ref="A58:A59"/>
    <mergeCell ref="B58:B59"/>
    <mergeCell ref="B37:B40"/>
    <mergeCell ref="A37:A40"/>
    <mergeCell ref="B41:B43"/>
    <mergeCell ref="A41:A43"/>
    <mergeCell ref="A44:A46"/>
    <mergeCell ref="B44:B46"/>
    <mergeCell ref="A60:A61"/>
    <mergeCell ref="B60:B61"/>
    <mergeCell ref="A62:A71"/>
    <mergeCell ref="B62:B71"/>
    <mergeCell ref="E12:E15"/>
    <mergeCell ref="E17:E21"/>
    <mergeCell ref="E25:E27"/>
    <mergeCell ref="E31:E35"/>
    <mergeCell ref="E38:E39"/>
    <mergeCell ref="E44:E45"/>
    <mergeCell ref="E47:E50"/>
    <mergeCell ref="E52:E56"/>
    <mergeCell ref="E63:E65"/>
    <mergeCell ref="E67:E68"/>
    <mergeCell ref="A47:A51"/>
    <mergeCell ref="B47:B51"/>
  </mergeCells>
  <pageMargins left="0.51181102362204722" right="0.23622047244094491" top="0.74803149606299213" bottom="0.35433070866141736" header="0.31496062992125984" footer="0.31496062992125984"/>
  <pageSetup paperSize="256" scale="70" orientation="portrait" horizontalDpi="4294967293" r:id="rId1"/>
  <rowBreaks count="1" manualBreakCount="1">
    <brk id="61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G109"/>
  <sheetViews>
    <sheetView view="pageBreakPreview" zoomScale="98" zoomScaleSheetLayoutView="98" workbookViewId="0">
      <selection activeCell="A5" sqref="A5:F5"/>
    </sheetView>
  </sheetViews>
  <sheetFormatPr defaultRowHeight="15" x14ac:dyDescent="0.25"/>
  <cols>
    <col min="1" max="1" width="6" customWidth="1"/>
    <col min="2" max="2" width="36" customWidth="1"/>
    <col min="3" max="3" width="23.7109375" customWidth="1"/>
    <col min="4" max="4" width="22.42578125" customWidth="1"/>
    <col min="5" max="5" width="20.5703125" customWidth="1"/>
    <col min="6" max="6" width="19.42578125" customWidth="1"/>
  </cols>
  <sheetData>
    <row r="1" spans="1:6" ht="18.75" x14ac:dyDescent="0.25">
      <c r="A1" s="161" t="s">
        <v>52</v>
      </c>
      <c r="B1" s="161"/>
      <c r="C1" s="161"/>
      <c r="D1" s="161"/>
      <c r="E1" s="161"/>
      <c r="F1" s="161"/>
    </row>
    <row r="2" spans="1:6" ht="30" x14ac:dyDescent="0.25">
      <c r="A2" s="162" t="s">
        <v>53</v>
      </c>
      <c r="B2" s="162"/>
      <c r="C2" s="162"/>
      <c r="D2" s="162"/>
      <c r="E2" s="162"/>
      <c r="F2" s="162"/>
    </row>
    <row r="3" spans="1:6" x14ac:dyDescent="0.25">
      <c r="A3" s="163" t="s">
        <v>54</v>
      </c>
      <c r="B3" s="163"/>
      <c r="C3" s="163"/>
      <c r="D3" s="163"/>
      <c r="E3" s="163"/>
      <c r="F3" s="163"/>
    </row>
    <row r="4" spans="1:6" x14ac:dyDescent="0.25">
      <c r="A4" s="171"/>
      <c r="B4" s="171"/>
      <c r="C4" s="171"/>
      <c r="D4" s="171"/>
      <c r="E4" s="171"/>
    </row>
    <row r="5" spans="1:6" ht="47.25" customHeight="1" x14ac:dyDescent="0.25">
      <c r="A5" s="165" t="s">
        <v>10</v>
      </c>
      <c r="B5" s="165"/>
      <c r="C5" s="165"/>
      <c r="D5" s="165"/>
      <c r="E5" s="165"/>
      <c r="F5" s="165"/>
    </row>
    <row r="7" spans="1:6" ht="23.25" customHeight="1" x14ac:dyDescent="0.25">
      <c r="A7" s="185" t="s">
        <v>0</v>
      </c>
      <c r="B7" s="186" t="s">
        <v>1</v>
      </c>
      <c r="C7" s="189" t="s">
        <v>9</v>
      </c>
      <c r="D7" s="190"/>
      <c r="E7" s="190"/>
      <c r="F7" s="191"/>
    </row>
    <row r="8" spans="1:6" ht="30.75" customHeight="1" x14ac:dyDescent="0.25">
      <c r="A8" s="185"/>
      <c r="B8" s="187"/>
      <c r="C8" s="189" t="s">
        <v>2</v>
      </c>
      <c r="D8" s="191"/>
      <c r="E8" s="196" t="s">
        <v>5</v>
      </c>
      <c r="F8" s="197"/>
    </row>
    <row r="9" spans="1:6" ht="45" customHeight="1" x14ac:dyDescent="0.25">
      <c r="A9" s="185"/>
      <c r="B9" s="188"/>
      <c r="C9" s="22" t="s">
        <v>3</v>
      </c>
      <c r="D9" s="22" t="s">
        <v>4</v>
      </c>
      <c r="E9" s="35" t="s">
        <v>6</v>
      </c>
      <c r="F9" s="35" t="s">
        <v>7</v>
      </c>
    </row>
    <row r="10" spans="1:6" ht="12" customHeight="1" x14ac:dyDescent="0.25">
      <c r="A10" s="33">
        <v>1</v>
      </c>
      <c r="B10" s="33">
        <v>2</v>
      </c>
      <c r="C10" s="34">
        <v>3</v>
      </c>
      <c r="D10" s="34">
        <v>4</v>
      </c>
      <c r="E10" s="34">
        <v>5</v>
      </c>
      <c r="F10" s="34">
        <v>6</v>
      </c>
    </row>
    <row r="11" spans="1:6" ht="17.25" customHeight="1" x14ac:dyDescent="0.25">
      <c r="A11" s="42">
        <v>1</v>
      </c>
      <c r="B11" s="39" t="s">
        <v>55</v>
      </c>
      <c r="C11" s="90"/>
      <c r="D11" s="91"/>
      <c r="E11" s="91"/>
      <c r="F11" s="91"/>
    </row>
    <row r="12" spans="1:6" ht="17.25" customHeight="1" x14ac:dyDescent="0.25">
      <c r="A12" s="43"/>
      <c r="B12" s="39" t="s">
        <v>139</v>
      </c>
      <c r="C12" s="90">
        <f>1905+1878+1751+1751+1763+1763+1849+1845</f>
        <v>14505</v>
      </c>
      <c r="D12" s="91">
        <f>1845+1809+2041+2038+2034+2034</f>
        <v>11801</v>
      </c>
      <c r="E12" s="91">
        <f>381000000+375600000+350200000+350200000+352600000+352600000+369800000+369000000</f>
        <v>2901000000</v>
      </c>
      <c r="F12" s="91">
        <f>369000000+361800000+408200000+407600000+406800000+406800000</f>
        <v>2360200000</v>
      </c>
    </row>
    <row r="13" spans="1:6" ht="17.25" customHeight="1" x14ac:dyDescent="0.25">
      <c r="A13" s="43"/>
      <c r="B13" s="39" t="s">
        <v>140</v>
      </c>
      <c r="C13" s="90">
        <f>1367+1367</f>
        <v>2734</v>
      </c>
      <c r="D13" s="91">
        <f>1367+1218+1217+1217</f>
        <v>5019</v>
      </c>
      <c r="E13" s="91">
        <f>273400000+273400000</f>
        <v>546800000</v>
      </c>
      <c r="F13" s="91">
        <f>273400000+243600000+243400000+243400000</f>
        <v>1003800000</v>
      </c>
    </row>
    <row r="14" spans="1:6" ht="17.25" customHeight="1" x14ac:dyDescent="0.25">
      <c r="A14" s="44"/>
      <c r="B14" s="41"/>
      <c r="C14" s="124">
        <f>C12+C13</f>
        <v>17239</v>
      </c>
      <c r="D14" s="124">
        <f>D12+D13</f>
        <v>16820</v>
      </c>
      <c r="E14" s="124">
        <f>E12+E13</f>
        <v>3447800000</v>
      </c>
      <c r="F14" s="124">
        <f>F12+F13</f>
        <v>3364000000</v>
      </c>
    </row>
    <row r="15" spans="1:6" ht="17.25" customHeight="1" x14ac:dyDescent="0.25">
      <c r="A15" s="105">
        <v>2</v>
      </c>
      <c r="B15" s="39" t="s">
        <v>78</v>
      </c>
      <c r="C15" s="90"/>
      <c r="D15" s="91"/>
      <c r="E15" s="91"/>
      <c r="F15" s="91"/>
    </row>
    <row r="16" spans="1:6" ht="17.25" customHeight="1" x14ac:dyDescent="0.25">
      <c r="A16" s="43"/>
      <c r="B16" s="39" t="s">
        <v>139</v>
      </c>
      <c r="C16" s="90"/>
      <c r="D16" s="91"/>
      <c r="E16" s="91"/>
      <c r="F16" s="91"/>
    </row>
    <row r="17" spans="1:7" ht="17.25" customHeight="1" x14ac:dyDescent="0.25">
      <c r="A17" s="43"/>
      <c r="B17" s="39" t="s">
        <v>140</v>
      </c>
      <c r="C17" s="90">
        <f>1112+1112</f>
        <v>2224</v>
      </c>
      <c r="D17" s="91">
        <f>1112+982+982+982</f>
        <v>4058</v>
      </c>
      <c r="E17" s="91">
        <f>222400000+222400000</f>
        <v>444800000</v>
      </c>
      <c r="F17" s="91">
        <f>222400000+196400000+196400000+196400000</f>
        <v>811600000</v>
      </c>
    </row>
    <row r="18" spans="1:7" ht="17.25" customHeight="1" x14ac:dyDescent="0.25">
      <c r="A18" s="44"/>
      <c r="B18" s="41"/>
      <c r="C18" s="124">
        <f>C16+C17</f>
        <v>2224</v>
      </c>
      <c r="D18" s="124">
        <f>D16+D17</f>
        <v>4058</v>
      </c>
      <c r="E18" s="124">
        <f>E16+E17</f>
        <v>444800000</v>
      </c>
      <c r="F18" s="124">
        <f>F16+F17</f>
        <v>811600000</v>
      </c>
    </row>
    <row r="19" spans="1:7" ht="17.25" customHeight="1" x14ac:dyDescent="0.25">
      <c r="A19" s="105">
        <v>3</v>
      </c>
      <c r="B19" s="99" t="s">
        <v>85</v>
      </c>
      <c r="C19" s="100"/>
      <c r="D19" s="101"/>
      <c r="E19" s="101"/>
      <c r="F19" s="101"/>
    </row>
    <row r="20" spans="1:7" ht="17.25" customHeight="1" x14ac:dyDescent="0.25">
      <c r="A20" s="43"/>
      <c r="B20" s="39" t="s">
        <v>139</v>
      </c>
      <c r="C20" s="90">
        <f>2594+2574+2366+2366+2434+2434+2527+2525</f>
        <v>19820</v>
      </c>
      <c r="D20" s="91">
        <f>2525+2494+2637+2635+2631+2631</f>
        <v>15553</v>
      </c>
      <c r="E20" s="91">
        <f>518800000+514800000+473200000+437200000+486800000+486800000+505400000+505000000</f>
        <v>3928000000</v>
      </c>
      <c r="F20" s="91">
        <f>505000000+498800000+527400000+527000000+526200000+526200000</f>
        <v>3110600000</v>
      </c>
    </row>
    <row r="21" spans="1:7" ht="17.25" customHeight="1" x14ac:dyDescent="0.25">
      <c r="A21" s="43"/>
      <c r="B21" s="39" t="s">
        <v>140</v>
      </c>
      <c r="C21" s="92">
        <f>1603+1603</f>
        <v>3206</v>
      </c>
      <c r="D21" s="93">
        <f>1603+1413+1413+1413</f>
        <v>5842</v>
      </c>
      <c r="E21" s="93">
        <f>320600000+320600000</f>
        <v>641200000</v>
      </c>
      <c r="F21" s="93">
        <f>320600000+282600000+282600000+282600000</f>
        <v>1168400000</v>
      </c>
    </row>
    <row r="22" spans="1:7" ht="17.25" customHeight="1" x14ac:dyDescent="0.25">
      <c r="A22" s="44"/>
      <c r="B22" s="41"/>
      <c r="C22" s="124">
        <f>C20+C21</f>
        <v>23026</v>
      </c>
      <c r="D22" s="124">
        <f>D20+D21</f>
        <v>21395</v>
      </c>
      <c r="E22" s="124">
        <f>E20+E21</f>
        <v>4569200000</v>
      </c>
      <c r="F22" s="124">
        <f>F20+F21</f>
        <v>4279000000</v>
      </c>
    </row>
    <row r="23" spans="1:7" ht="17.25" customHeight="1" x14ac:dyDescent="0.25">
      <c r="A23" s="43">
        <v>4</v>
      </c>
      <c r="B23" s="99" t="s">
        <v>61</v>
      </c>
      <c r="C23" s="100"/>
      <c r="D23" s="101"/>
      <c r="E23" s="101"/>
      <c r="F23" s="101"/>
    </row>
    <row r="24" spans="1:7" ht="17.25" customHeight="1" x14ac:dyDescent="0.25">
      <c r="A24" s="43"/>
      <c r="B24" s="39" t="s">
        <v>139</v>
      </c>
      <c r="C24" s="90">
        <f>4663+4637+4192+4192+4276+4276+4461+4455</f>
        <v>35152</v>
      </c>
      <c r="D24" s="91">
        <f>4449+4356+4394+4360+4266+4266</f>
        <v>26091</v>
      </c>
      <c r="E24" s="91">
        <f>932600000+927400000+838400000+838400000+855200000+855200000+892200000+891000000</f>
        <v>7030400000</v>
      </c>
      <c r="F24" s="91">
        <f>889800000+871200000+878800000+872000000+853200000+853200000</f>
        <v>5218200000</v>
      </c>
    </row>
    <row r="25" spans="1:7" ht="17.25" customHeight="1" x14ac:dyDescent="0.25">
      <c r="A25" s="43"/>
      <c r="B25" s="39" t="s">
        <v>140</v>
      </c>
      <c r="C25" s="90">
        <f>1993+1993</f>
        <v>3986</v>
      </c>
      <c r="D25" s="91">
        <f>1993+1805+1805+1805</f>
        <v>7408</v>
      </c>
      <c r="E25" s="91">
        <f>398600000+398600000</f>
        <v>797200000</v>
      </c>
      <c r="F25" s="91">
        <f>398600000+361000000+361000000+361000000</f>
        <v>1481600000</v>
      </c>
      <c r="G25" s="6"/>
    </row>
    <row r="26" spans="1:7" ht="17.25" customHeight="1" x14ac:dyDescent="0.25">
      <c r="A26" s="44"/>
      <c r="B26" s="41"/>
      <c r="C26" s="124">
        <f>C24+C25</f>
        <v>39138</v>
      </c>
      <c r="D26" s="124">
        <f>D24+D25</f>
        <v>33499</v>
      </c>
      <c r="E26" s="124">
        <f>E24+E25</f>
        <v>7827600000</v>
      </c>
      <c r="F26" s="124">
        <f>F24+F25</f>
        <v>6699800000</v>
      </c>
    </row>
    <row r="27" spans="1:7" ht="17.25" customHeight="1" x14ac:dyDescent="0.25">
      <c r="A27" s="43">
        <v>5</v>
      </c>
      <c r="B27" s="39" t="s">
        <v>96</v>
      </c>
      <c r="C27" s="90"/>
      <c r="D27" s="91"/>
      <c r="E27" s="91"/>
      <c r="F27" s="91"/>
    </row>
    <row r="28" spans="1:7" ht="17.25" customHeight="1" x14ac:dyDescent="0.25">
      <c r="A28" s="43"/>
      <c r="B28" s="39" t="s">
        <v>139</v>
      </c>
      <c r="C28" s="90">
        <f>2715+2701+2527+2527+2552+2552+2698+2691</f>
        <v>20963</v>
      </c>
      <c r="D28" s="91">
        <f>2689+2651+2693+2679+2594+2594</f>
        <v>15900</v>
      </c>
      <c r="E28" s="91">
        <f>543000000+540200000+505400000+505400000+510400000+510400000+539600000+538200000</f>
        <v>4192600000</v>
      </c>
      <c r="F28" s="91">
        <f>537800000+530200000+538600000+535800000+518800000+518800000</f>
        <v>3180000000</v>
      </c>
    </row>
    <row r="29" spans="1:7" ht="17.25" customHeight="1" x14ac:dyDescent="0.25">
      <c r="A29" s="43"/>
      <c r="B29" s="39" t="s">
        <v>140</v>
      </c>
      <c r="C29" s="90">
        <f>1111+1111</f>
        <v>2222</v>
      </c>
      <c r="D29" s="91">
        <f>1111+955+955+955</f>
        <v>3976</v>
      </c>
      <c r="E29" s="91">
        <f>222200000+222200000</f>
        <v>444400000</v>
      </c>
      <c r="F29" s="91">
        <f>222200000+191000000+191000000+191000000</f>
        <v>795200000</v>
      </c>
    </row>
    <row r="30" spans="1:7" ht="17.25" customHeight="1" x14ac:dyDescent="0.25">
      <c r="A30" s="44"/>
      <c r="B30" s="41"/>
      <c r="C30" s="124">
        <f>C28+C29</f>
        <v>23185</v>
      </c>
      <c r="D30" s="124">
        <f>D28+D29</f>
        <v>19876</v>
      </c>
      <c r="E30" s="124">
        <f>E28+E29</f>
        <v>4637000000</v>
      </c>
      <c r="F30" s="124">
        <f>F28+F29</f>
        <v>3975200000</v>
      </c>
    </row>
    <row r="31" spans="1:7" ht="17.25" customHeight="1" x14ac:dyDescent="0.25">
      <c r="A31" s="43">
        <v>6</v>
      </c>
      <c r="B31" s="39" t="s">
        <v>99</v>
      </c>
      <c r="C31" s="90"/>
      <c r="D31" s="91"/>
      <c r="E31" s="91"/>
      <c r="F31" s="91"/>
    </row>
    <row r="32" spans="1:7" ht="17.25" customHeight="1" x14ac:dyDescent="0.25">
      <c r="A32" s="43"/>
      <c r="B32" s="39" t="s">
        <v>139</v>
      </c>
      <c r="C32" s="90">
        <f>1510+1504+1309+1309+1379+1379+1480+1476</f>
        <v>11346</v>
      </c>
      <c r="D32" s="91">
        <f>1476+1458+1524+1521+1518+1518</f>
        <v>9015</v>
      </c>
      <c r="E32" s="91">
        <f>302000000+300800000+261800000+261800000+275800000+275800000+296000000+295200000</f>
        <v>2269200000</v>
      </c>
      <c r="F32" s="91">
        <f>295200000+291600000+304800000+304200000+303600000+303600000</f>
        <v>1803000000</v>
      </c>
    </row>
    <row r="33" spans="1:6" ht="17.25" customHeight="1" x14ac:dyDescent="0.25">
      <c r="A33" s="43"/>
      <c r="B33" s="39" t="s">
        <v>140</v>
      </c>
      <c r="C33" s="90">
        <f>572+572</f>
        <v>1144</v>
      </c>
      <c r="D33" s="91">
        <f>572+488+488+488</f>
        <v>2036</v>
      </c>
      <c r="E33" s="91">
        <f>114400000+114400000</f>
        <v>228800000</v>
      </c>
      <c r="F33" s="91">
        <f>114400000+97600000+97600000+97600000</f>
        <v>407200000</v>
      </c>
    </row>
    <row r="34" spans="1:6" ht="17.25" customHeight="1" x14ac:dyDescent="0.25">
      <c r="A34" s="44"/>
      <c r="B34" s="41"/>
      <c r="C34" s="124">
        <f>C32+C33</f>
        <v>12490</v>
      </c>
      <c r="D34" s="124">
        <f>D32+D33</f>
        <v>11051</v>
      </c>
      <c r="E34" s="124">
        <f>E32+E33</f>
        <v>2498000000</v>
      </c>
      <c r="F34" s="124">
        <f>F32+F33</f>
        <v>2210200000</v>
      </c>
    </row>
    <row r="35" spans="1:6" ht="17.25" customHeight="1" x14ac:dyDescent="0.25">
      <c r="A35" s="43">
        <v>7</v>
      </c>
      <c r="B35" s="39" t="s">
        <v>102</v>
      </c>
      <c r="C35" s="90"/>
      <c r="D35" s="91"/>
      <c r="E35" s="91"/>
      <c r="F35" s="91"/>
    </row>
    <row r="36" spans="1:6" ht="17.25" customHeight="1" x14ac:dyDescent="0.25">
      <c r="A36" s="43"/>
      <c r="B36" s="39" t="s">
        <v>139</v>
      </c>
      <c r="C36" s="90">
        <f>1351+1336+1158+1158+1197+1197+1274+1273</f>
        <v>9944</v>
      </c>
      <c r="D36" s="91">
        <f>1273+1253+1290+1285+1275+1275</f>
        <v>7651</v>
      </c>
      <c r="E36" s="91">
        <f>270200000+267200000+231600000+231600000+239400000+239400000+2548000000+254600000</f>
        <v>4282000000</v>
      </c>
      <c r="F36" s="91">
        <f>254600000+250600000+2580000000+257000000+255000000+255000000</f>
        <v>3852200000</v>
      </c>
    </row>
    <row r="37" spans="1:6" ht="17.25" customHeight="1" x14ac:dyDescent="0.25">
      <c r="A37" s="43"/>
      <c r="B37" s="119" t="s">
        <v>140</v>
      </c>
      <c r="C37" s="125">
        <f>3+3</f>
        <v>6</v>
      </c>
      <c r="D37" s="126">
        <f>3+3+3+3</f>
        <v>12</v>
      </c>
      <c r="E37" s="126">
        <f>600000+600000</f>
        <v>1200000</v>
      </c>
      <c r="F37" s="126">
        <f>600000+600000+600000+600000</f>
        <v>2400000</v>
      </c>
    </row>
    <row r="38" spans="1:6" ht="17.25" customHeight="1" x14ac:dyDescent="0.25">
      <c r="A38" s="44"/>
      <c r="B38" s="41"/>
      <c r="C38" s="124">
        <f>C36+C37</f>
        <v>9950</v>
      </c>
      <c r="D38" s="124">
        <f>D36+D37</f>
        <v>7663</v>
      </c>
      <c r="E38" s="124">
        <f>E36+E37</f>
        <v>4283200000</v>
      </c>
      <c r="F38" s="124">
        <f>F36+F37</f>
        <v>3854600000</v>
      </c>
    </row>
    <row r="39" spans="1:6" ht="17.25" customHeight="1" x14ac:dyDescent="0.25">
      <c r="A39" s="43">
        <v>8</v>
      </c>
      <c r="B39" s="39" t="s">
        <v>105</v>
      </c>
      <c r="C39" s="90"/>
      <c r="D39" s="91"/>
      <c r="E39" s="91"/>
      <c r="F39" s="91"/>
    </row>
    <row r="40" spans="1:6" ht="17.25" customHeight="1" x14ac:dyDescent="0.25">
      <c r="A40" s="43"/>
      <c r="B40" s="39" t="s">
        <v>139</v>
      </c>
      <c r="C40" s="90">
        <f>1512+1476+1392+1392+1411+1410+1482+1476</f>
        <v>11551</v>
      </c>
      <c r="D40" s="91">
        <f>1476+1469+1235+1234+1229+1229</f>
        <v>7872</v>
      </c>
      <c r="E40" s="91">
        <f>302400000+295200000+278400000+278400000+282200000+282000000+296400000+295200000</f>
        <v>2310200000</v>
      </c>
      <c r="F40" s="91">
        <f>295200000+293800000+247000000+246800000+245800000+245800000</f>
        <v>1574400000</v>
      </c>
    </row>
    <row r="41" spans="1:6" ht="17.25" customHeight="1" x14ac:dyDescent="0.25">
      <c r="A41" s="117"/>
      <c r="B41" s="39" t="s">
        <v>140</v>
      </c>
      <c r="C41" s="92">
        <f>1+1</f>
        <v>2</v>
      </c>
      <c r="D41" s="93">
        <v>4</v>
      </c>
      <c r="E41" s="93">
        <v>400000</v>
      </c>
      <c r="F41" s="93">
        <v>800000</v>
      </c>
    </row>
    <row r="42" spans="1:6" ht="17.25" customHeight="1" x14ac:dyDescent="0.25">
      <c r="A42" s="44"/>
      <c r="B42" s="41"/>
      <c r="C42" s="124">
        <f>C40+C41</f>
        <v>11553</v>
      </c>
      <c r="D42" s="124">
        <f>D40+D41</f>
        <v>7876</v>
      </c>
      <c r="E42" s="124">
        <f>E40+E41</f>
        <v>2310600000</v>
      </c>
      <c r="F42" s="124">
        <f>F40+F41</f>
        <v>1575200000</v>
      </c>
    </row>
    <row r="43" spans="1:6" ht="17.25" customHeight="1" x14ac:dyDescent="0.25">
      <c r="A43" s="43">
        <v>9</v>
      </c>
      <c r="B43" s="37" t="s">
        <v>83</v>
      </c>
      <c r="C43" s="120"/>
      <c r="D43" s="89"/>
      <c r="E43" s="89"/>
      <c r="F43" s="89"/>
    </row>
    <row r="44" spans="1:6" ht="17.25" customHeight="1" x14ac:dyDescent="0.25">
      <c r="A44" s="43"/>
      <c r="B44" s="39" t="s">
        <v>139</v>
      </c>
      <c r="C44" s="121">
        <f>1308+1294+1189+1189+1240+1239+1300+1299</f>
        <v>10058</v>
      </c>
      <c r="D44" s="91">
        <f>1298+1262+1357+1335+1303+1303</f>
        <v>7858</v>
      </c>
      <c r="E44" s="91">
        <f>261600000+258800000+237800000+237800000+248000000+247800000+260000000+259800000</f>
        <v>2011600000</v>
      </c>
      <c r="F44" s="91">
        <f>259600000+252400000+271400000+267000000+260600000+260000000</f>
        <v>1571000000</v>
      </c>
    </row>
    <row r="45" spans="1:6" ht="17.25" customHeight="1" x14ac:dyDescent="0.25">
      <c r="A45" s="43"/>
      <c r="B45" s="39" t="s">
        <v>140</v>
      </c>
      <c r="C45" s="121">
        <f>632+632</f>
        <v>1264</v>
      </c>
      <c r="D45" s="91">
        <f>632+523+523+523</f>
        <v>2201</v>
      </c>
      <c r="E45" s="91">
        <f>126400000+126400000</f>
        <v>252800000</v>
      </c>
      <c r="F45" s="91">
        <f>126400000+104600000+104600000+104600000</f>
        <v>440200000</v>
      </c>
    </row>
    <row r="46" spans="1:6" ht="17.25" customHeight="1" x14ac:dyDescent="0.25">
      <c r="A46" s="44"/>
      <c r="B46" s="41"/>
      <c r="C46" s="122">
        <f>C44+C45</f>
        <v>11322</v>
      </c>
      <c r="D46" s="123">
        <f>D44+D45</f>
        <v>10059</v>
      </c>
      <c r="E46" s="123">
        <f>E44+E45</f>
        <v>2264400000</v>
      </c>
      <c r="F46" s="123">
        <f>F44+F45</f>
        <v>2011200000</v>
      </c>
    </row>
    <row r="47" spans="1:6" ht="17.25" customHeight="1" x14ac:dyDescent="0.25">
      <c r="A47" s="43">
        <v>10</v>
      </c>
      <c r="B47" s="39" t="s">
        <v>114</v>
      </c>
      <c r="C47" s="90"/>
      <c r="D47" s="91"/>
      <c r="E47" s="91"/>
      <c r="F47" s="91"/>
    </row>
    <row r="48" spans="1:6" ht="17.25" customHeight="1" x14ac:dyDescent="0.25">
      <c r="A48" s="43"/>
      <c r="B48" s="39" t="s">
        <v>139</v>
      </c>
      <c r="C48" s="90">
        <f>2338+2299+1960+1959+1950+1950+2189+2186</f>
        <v>16831</v>
      </c>
      <c r="D48" s="91">
        <f>2186+2143+2152+2132+2128+2128</f>
        <v>12869</v>
      </c>
      <c r="E48" s="91">
        <f>467600000+459800000+392000000+391800000+390000000+390000000+437800000+437200000</f>
        <v>3366200000</v>
      </c>
      <c r="F48" s="91">
        <f>437200000+437200000+428600000+430400000+426400000+425600000+425600000</f>
        <v>3011000000</v>
      </c>
    </row>
    <row r="49" spans="1:6" ht="17.25" customHeight="1" x14ac:dyDescent="0.25">
      <c r="A49" s="43"/>
      <c r="B49" s="39" t="s">
        <v>140</v>
      </c>
      <c r="C49" s="90">
        <f>614+614</f>
        <v>1228</v>
      </c>
      <c r="D49" s="91">
        <f>614+560+560+560</f>
        <v>2294</v>
      </c>
      <c r="E49" s="91">
        <f>122800000+122800000</f>
        <v>245600000</v>
      </c>
      <c r="F49" s="91">
        <f>122800000+112000000+112000000+112000000</f>
        <v>458800000</v>
      </c>
    </row>
    <row r="50" spans="1:6" ht="17.25" customHeight="1" x14ac:dyDescent="0.25">
      <c r="A50" s="44"/>
      <c r="B50" s="41"/>
      <c r="C50" s="124">
        <f>C48+C49</f>
        <v>18059</v>
      </c>
      <c r="D50" s="124">
        <f>D48+D49</f>
        <v>15163</v>
      </c>
      <c r="E50" s="124">
        <f>E48+E49</f>
        <v>3611800000</v>
      </c>
      <c r="F50" s="124">
        <f>F48+F49</f>
        <v>3469800000</v>
      </c>
    </row>
    <row r="51" spans="1:6" ht="17.25" customHeight="1" x14ac:dyDescent="0.25">
      <c r="A51" s="43">
        <v>11</v>
      </c>
      <c r="B51" s="39" t="s">
        <v>116</v>
      </c>
      <c r="C51" s="90"/>
      <c r="D51" s="91"/>
      <c r="E51" s="91"/>
      <c r="F51" s="91"/>
    </row>
    <row r="52" spans="1:6" ht="17.25" customHeight="1" x14ac:dyDescent="0.25">
      <c r="A52" s="43"/>
      <c r="B52" s="39" t="s">
        <v>139</v>
      </c>
      <c r="C52" s="90">
        <f>1442+1439+1325+1325+1359+1359+1441+1438</f>
        <v>11128</v>
      </c>
      <c r="D52" s="91">
        <f>1438+1426+1481+1477+1463+1463</f>
        <v>8748</v>
      </c>
      <c r="E52" s="91">
        <f>288400000+287800000+265000000+265000000+271800000+271800000+288200000+287600000</f>
        <v>2225600000</v>
      </c>
      <c r="F52" s="91">
        <f>287600000+285200000+296200000+295400000+292600000+292600000</f>
        <v>1749600000</v>
      </c>
    </row>
    <row r="53" spans="1:6" ht="17.25" customHeight="1" x14ac:dyDescent="0.25">
      <c r="A53" s="43"/>
      <c r="B53" s="39" t="s">
        <v>140</v>
      </c>
      <c r="C53" s="90">
        <f>23+23</f>
        <v>46</v>
      </c>
      <c r="D53" s="91">
        <f>23+20+20+20</f>
        <v>83</v>
      </c>
      <c r="E53" s="91">
        <f>4600000+4600000</f>
        <v>9200000</v>
      </c>
      <c r="F53" s="91">
        <f>4600000+4000000+4000000+4000000</f>
        <v>16600000</v>
      </c>
    </row>
    <row r="54" spans="1:6" ht="17.25" customHeight="1" x14ac:dyDescent="0.25">
      <c r="A54" s="44"/>
      <c r="B54" s="41"/>
      <c r="C54" s="124">
        <f>C52+C53</f>
        <v>11174</v>
      </c>
      <c r="D54" s="124">
        <f>D52+D53</f>
        <v>8831</v>
      </c>
      <c r="E54" s="124">
        <f>E52+E53</f>
        <v>2234800000</v>
      </c>
      <c r="F54" s="124">
        <f>F52+F53</f>
        <v>1766200000</v>
      </c>
    </row>
    <row r="55" spans="1:6" ht="17.25" customHeight="1" x14ac:dyDescent="0.25">
      <c r="A55" s="43">
        <v>12</v>
      </c>
      <c r="B55" s="39" t="s">
        <v>118</v>
      </c>
      <c r="C55" s="90"/>
      <c r="D55" s="91"/>
      <c r="E55" s="91"/>
      <c r="F55" s="91"/>
    </row>
    <row r="56" spans="1:6" ht="17.25" customHeight="1" x14ac:dyDescent="0.25">
      <c r="A56" s="43"/>
      <c r="B56" s="39" t="s">
        <v>139</v>
      </c>
      <c r="C56" s="90">
        <f>1796+1546+1597+1596+1686+1686+1826+1824</f>
        <v>13557</v>
      </c>
      <c r="D56" s="91">
        <f>1824+1670+1668+1647+1643+1643</f>
        <v>10095</v>
      </c>
      <c r="E56" s="91">
        <f>359200000+309200000+319400000+319200000+337200000+337200000+365200000+364800000</f>
        <v>2711400000</v>
      </c>
      <c r="F56" s="91">
        <f>364800000+334000000+333600000+329400000+328600000+328600000</f>
        <v>2019000000</v>
      </c>
    </row>
    <row r="57" spans="1:6" ht="17.25" customHeight="1" x14ac:dyDescent="0.25">
      <c r="A57" s="43"/>
      <c r="B57" s="39" t="s">
        <v>140</v>
      </c>
      <c r="C57" s="90">
        <f>887+887</f>
        <v>1774</v>
      </c>
      <c r="D57" s="91">
        <f>887+823+823+823</f>
        <v>3356</v>
      </c>
      <c r="E57" s="91">
        <f>177400000+177400000</f>
        <v>354800000</v>
      </c>
      <c r="F57" s="91">
        <f>177400000+164600000+164600000+164600000</f>
        <v>671200000</v>
      </c>
    </row>
    <row r="58" spans="1:6" ht="17.25" customHeight="1" x14ac:dyDescent="0.25">
      <c r="A58" s="44"/>
      <c r="B58" s="41"/>
      <c r="C58" s="124">
        <f>C56+C57</f>
        <v>15331</v>
      </c>
      <c r="D58" s="124">
        <f>D56+D57</f>
        <v>13451</v>
      </c>
      <c r="E58" s="124">
        <f>E56+E57</f>
        <v>3066200000</v>
      </c>
      <c r="F58" s="124">
        <f>F56+F57</f>
        <v>2690200000</v>
      </c>
    </row>
    <row r="59" spans="1:6" ht="17.25" customHeight="1" x14ac:dyDescent="0.25">
      <c r="A59" s="43">
        <v>13</v>
      </c>
      <c r="B59" s="39" t="s">
        <v>110</v>
      </c>
      <c r="C59" s="90"/>
      <c r="D59" s="91"/>
      <c r="E59" s="91"/>
      <c r="F59" s="91"/>
    </row>
    <row r="60" spans="1:6" ht="17.25" customHeight="1" x14ac:dyDescent="0.25">
      <c r="A60" s="43"/>
      <c r="B60" s="39" t="s">
        <v>139</v>
      </c>
      <c r="C60" s="90">
        <f>1461+1173+882+867+1254+1238+1495+1495</f>
        <v>9865</v>
      </c>
      <c r="D60" s="91">
        <f>1495+1412+1411+1383+1381+1381</f>
        <v>8463</v>
      </c>
      <c r="E60" s="91">
        <f>292200000+234600000+176400000+173400000+250800000+247600000+299000000+299000000</f>
        <v>1973000000</v>
      </c>
      <c r="F60" s="91">
        <f>299000000+282400000+282200000+276600000+276200000+276200000</f>
        <v>1692600000</v>
      </c>
    </row>
    <row r="61" spans="1:6" ht="17.25" customHeight="1" x14ac:dyDescent="0.25">
      <c r="A61" s="43"/>
      <c r="B61" s="39" t="s">
        <v>140</v>
      </c>
      <c r="C61" s="90">
        <f>640+640</f>
        <v>1280</v>
      </c>
      <c r="D61" s="91">
        <f>640+539+539+539</f>
        <v>2257</v>
      </c>
      <c r="E61" s="91">
        <f>128000000+128000000</f>
        <v>256000000</v>
      </c>
      <c r="F61" s="91">
        <f>128000000+107800000+107800000+107800000</f>
        <v>451400000</v>
      </c>
    </row>
    <row r="62" spans="1:6" ht="17.25" customHeight="1" x14ac:dyDescent="0.25">
      <c r="A62" s="43"/>
      <c r="B62" s="39"/>
      <c r="C62" s="144">
        <f>C60+C61</f>
        <v>11145</v>
      </c>
      <c r="D62" s="144">
        <f>D60+D61</f>
        <v>10720</v>
      </c>
      <c r="E62" s="144">
        <f>E60+E61</f>
        <v>2229000000</v>
      </c>
      <c r="F62" s="144">
        <f>F60+F61</f>
        <v>2144000000</v>
      </c>
    </row>
    <row r="63" spans="1:6" ht="17.25" customHeight="1" x14ac:dyDescent="0.25">
      <c r="A63" s="132"/>
      <c r="B63" s="142"/>
      <c r="C63" s="143"/>
      <c r="D63" s="143"/>
      <c r="E63" s="143"/>
      <c r="F63" s="143"/>
    </row>
    <row r="64" spans="1:6" ht="17.25" customHeight="1" x14ac:dyDescent="0.25">
      <c r="A64" s="195" t="s">
        <v>8</v>
      </c>
      <c r="B64" s="195"/>
      <c r="C64" s="5">
        <f>C14+C18+C22+C26+C30+C34+C38+C42+C46+C50+C54+C58+C62</f>
        <v>205836</v>
      </c>
      <c r="D64" s="5">
        <f>D14+D18+D22+D26+D30+D34+D38+D42+D46+D50+D54+D58+D62</f>
        <v>180462</v>
      </c>
      <c r="E64" s="5">
        <f>E14+E18+E22+E26+E30+E34+E38+E42+E46+E50+E54+E58+E62</f>
        <v>43424400000</v>
      </c>
      <c r="F64" s="5">
        <f>F14+F18+F22+F26+F30+F34+F38+F42+F46+F50+F54+F58+F62</f>
        <v>38851000000</v>
      </c>
    </row>
    <row r="65" spans="1:6" ht="15.75" x14ac:dyDescent="0.25">
      <c r="A65" s="1"/>
      <c r="B65" s="1"/>
      <c r="C65" s="1"/>
      <c r="D65" s="127"/>
      <c r="E65" s="127"/>
      <c r="F65" s="127"/>
    </row>
    <row r="66" spans="1:6" ht="15.75" x14ac:dyDescent="0.25">
      <c r="A66" s="1"/>
      <c r="B66" s="1"/>
      <c r="C66" s="4"/>
      <c r="D66" s="115"/>
      <c r="E66" s="118" t="s">
        <v>50</v>
      </c>
      <c r="F66" s="115"/>
    </row>
    <row r="67" spans="1:6" ht="15.75" x14ac:dyDescent="0.25">
      <c r="A67" s="1"/>
      <c r="B67" s="1"/>
      <c r="C67" s="4"/>
      <c r="D67" s="115"/>
      <c r="E67" s="194" t="s">
        <v>49</v>
      </c>
      <c r="F67" s="194"/>
    </row>
    <row r="68" spans="1:6" ht="15.75" x14ac:dyDescent="0.25">
      <c r="A68" s="1"/>
      <c r="B68" s="1"/>
      <c r="C68" s="1"/>
      <c r="D68" s="115"/>
      <c r="E68" s="192" t="s">
        <v>64</v>
      </c>
      <c r="F68" s="192"/>
    </row>
    <row r="69" spans="1:6" ht="15.75" x14ac:dyDescent="0.25">
      <c r="A69" s="1"/>
      <c r="B69" s="1"/>
      <c r="C69" s="1"/>
      <c r="D69" s="115"/>
      <c r="E69" s="86"/>
      <c r="F69" s="115"/>
    </row>
    <row r="70" spans="1:6" ht="15.75" x14ac:dyDescent="0.25">
      <c r="A70" s="1"/>
      <c r="B70" s="1"/>
      <c r="C70" s="1"/>
      <c r="D70" s="115"/>
      <c r="E70" s="86"/>
      <c r="F70" s="115"/>
    </row>
    <row r="71" spans="1:6" ht="15.75" x14ac:dyDescent="0.25">
      <c r="A71" s="1"/>
      <c r="B71" s="1"/>
      <c r="C71" s="2"/>
      <c r="D71" s="115"/>
      <c r="E71" s="193" t="s">
        <v>141</v>
      </c>
      <c r="F71" s="193"/>
    </row>
    <row r="72" spans="1:6" ht="15.75" x14ac:dyDescent="0.25">
      <c r="A72" s="1"/>
      <c r="B72" s="1"/>
      <c r="C72" s="3"/>
      <c r="D72" s="115"/>
      <c r="E72" s="192" t="s">
        <v>95</v>
      </c>
      <c r="F72" s="192"/>
    </row>
    <row r="73" spans="1:6" ht="15.75" x14ac:dyDescent="0.25">
      <c r="A73" s="1"/>
      <c r="B73" s="1"/>
      <c r="C73" s="1"/>
      <c r="D73" s="115"/>
      <c r="E73" s="192" t="s">
        <v>66</v>
      </c>
      <c r="F73" s="192"/>
    </row>
    <row r="74" spans="1:6" ht="15.75" x14ac:dyDescent="0.25">
      <c r="A74" s="1"/>
      <c r="B74" s="1"/>
      <c r="C74" s="1"/>
      <c r="D74" s="115"/>
      <c r="E74" s="129"/>
      <c r="F74" s="129"/>
    </row>
    <row r="75" spans="1:6" ht="15.75" x14ac:dyDescent="0.25">
      <c r="A75" s="1"/>
      <c r="B75" s="1"/>
      <c r="C75" s="1"/>
      <c r="D75" s="115"/>
      <c r="E75" s="129"/>
      <c r="F75" s="129"/>
    </row>
    <row r="76" spans="1:6" ht="15.75" x14ac:dyDescent="0.25">
      <c r="A76" s="1"/>
      <c r="B76" s="1"/>
      <c r="C76" s="1"/>
      <c r="D76" s="115"/>
      <c r="E76" s="129"/>
      <c r="F76" s="129"/>
    </row>
    <row r="77" spans="1:6" ht="18.75" x14ac:dyDescent="0.25">
      <c r="A77" s="161" t="s">
        <v>52</v>
      </c>
      <c r="B77" s="161"/>
      <c r="C77" s="161"/>
      <c r="D77" s="161"/>
      <c r="E77" s="161"/>
      <c r="F77" s="161"/>
    </row>
    <row r="78" spans="1:6" ht="30" x14ac:dyDescent="0.25">
      <c r="A78" s="162" t="s">
        <v>53</v>
      </c>
      <c r="B78" s="162"/>
      <c r="C78" s="162"/>
      <c r="D78" s="162"/>
      <c r="E78" s="162"/>
      <c r="F78" s="162"/>
    </row>
    <row r="79" spans="1:6" x14ac:dyDescent="0.25">
      <c r="A79" s="163" t="s">
        <v>54</v>
      </c>
      <c r="B79" s="163"/>
      <c r="C79" s="163"/>
      <c r="D79" s="163"/>
      <c r="E79" s="163"/>
      <c r="F79" s="163"/>
    </row>
    <row r="80" spans="1:6" x14ac:dyDescent="0.25">
      <c r="A80" s="171"/>
      <c r="B80" s="171"/>
      <c r="C80" s="171"/>
      <c r="D80" s="171"/>
      <c r="E80" s="171"/>
    </row>
    <row r="81" spans="1:6" ht="39.75" customHeight="1" x14ac:dyDescent="0.25">
      <c r="A81" s="165" t="s">
        <v>142</v>
      </c>
      <c r="B81" s="165"/>
      <c r="C81" s="165"/>
      <c r="D81" s="165"/>
      <c r="E81" s="165"/>
      <c r="F81" s="165"/>
    </row>
    <row r="83" spans="1:6" x14ac:dyDescent="0.25">
      <c r="A83" s="185" t="s">
        <v>0</v>
      </c>
      <c r="B83" s="186" t="s">
        <v>1</v>
      </c>
      <c r="C83" s="189" t="s">
        <v>9</v>
      </c>
      <c r="D83" s="190"/>
      <c r="E83" s="190"/>
      <c r="F83" s="191"/>
    </row>
    <row r="84" spans="1:6" x14ac:dyDescent="0.25">
      <c r="A84" s="185"/>
      <c r="B84" s="187"/>
      <c r="C84" s="189" t="s">
        <v>147</v>
      </c>
      <c r="D84" s="190"/>
      <c r="E84" s="190"/>
      <c r="F84" s="191"/>
    </row>
    <row r="85" spans="1:6" x14ac:dyDescent="0.25">
      <c r="A85" s="185"/>
      <c r="B85" s="188"/>
      <c r="C85" s="128" t="s">
        <v>143</v>
      </c>
      <c r="D85" s="128" t="s">
        <v>144</v>
      </c>
      <c r="E85" s="130" t="s">
        <v>145</v>
      </c>
      <c r="F85" s="130" t="s">
        <v>146</v>
      </c>
    </row>
    <row r="86" spans="1:6" x14ac:dyDescent="0.25">
      <c r="A86" s="33">
        <v>1</v>
      </c>
      <c r="B86" s="33">
        <v>2</v>
      </c>
      <c r="C86" s="34">
        <v>3</v>
      </c>
      <c r="D86" s="34">
        <v>4</v>
      </c>
      <c r="E86" s="34">
        <v>5</v>
      </c>
      <c r="F86" s="34">
        <v>6</v>
      </c>
    </row>
    <row r="87" spans="1:6" s="13" customFormat="1" ht="20.25" customHeight="1" x14ac:dyDescent="0.25">
      <c r="A87" s="30">
        <v>1</v>
      </c>
      <c r="B87" s="32" t="s">
        <v>55</v>
      </c>
      <c r="C87" s="133">
        <v>932</v>
      </c>
      <c r="D87" s="133">
        <v>1222</v>
      </c>
      <c r="E87" s="133">
        <v>1222</v>
      </c>
      <c r="F87" s="133">
        <v>1236</v>
      </c>
    </row>
    <row r="88" spans="1:6" s="13" customFormat="1" ht="20.25" customHeight="1" x14ac:dyDescent="0.25">
      <c r="A88" s="14">
        <v>2</v>
      </c>
      <c r="B88" s="15" t="s">
        <v>78</v>
      </c>
      <c r="C88" s="134">
        <v>1321</v>
      </c>
      <c r="D88" s="134">
        <v>1708</v>
      </c>
      <c r="E88" s="134">
        <v>1638</v>
      </c>
      <c r="F88" s="134">
        <v>1705</v>
      </c>
    </row>
    <row r="89" spans="1:6" s="13" customFormat="1" ht="20.25" customHeight="1" x14ac:dyDescent="0.25">
      <c r="A89" s="30">
        <v>3</v>
      </c>
      <c r="B89" s="15" t="s">
        <v>85</v>
      </c>
      <c r="C89" s="134">
        <v>1410</v>
      </c>
      <c r="D89" s="134">
        <v>1615</v>
      </c>
      <c r="E89" s="134">
        <v>1795</v>
      </c>
      <c r="F89" s="134">
        <v>1872</v>
      </c>
    </row>
    <row r="90" spans="1:6" s="13" customFormat="1" ht="20.25" customHeight="1" x14ac:dyDescent="0.25">
      <c r="A90" s="14">
        <v>4</v>
      </c>
      <c r="B90" s="15" t="s">
        <v>61</v>
      </c>
      <c r="C90" s="134">
        <v>2616</v>
      </c>
      <c r="D90" s="134">
        <v>2958</v>
      </c>
      <c r="E90" s="134">
        <v>3095</v>
      </c>
      <c r="F90" s="134">
        <v>3214</v>
      </c>
    </row>
    <row r="91" spans="1:6" s="13" customFormat="1" ht="20.25" customHeight="1" x14ac:dyDescent="0.25">
      <c r="A91" s="30">
        <v>5</v>
      </c>
      <c r="B91" s="15" t="s">
        <v>96</v>
      </c>
      <c r="C91" s="134">
        <v>1420</v>
      </c>
      <c r="D91" s="134">
        <v>1563</v>
      </c>
      <c r="E91" s="134">
        <v>1736</v>
      </c>
      <c r="F91" s="134">
        <v>1784</v>
      </c>
    </row>
    <row r="92" spans="1:6" s="13" customFormat="1" ht="20.25" customHeight="1" x14ac:dyDescent="0.25">
      <c r="A92" s="14">
        <v>6</v>
      </c>
      <c r="B92" s="15" t="s">
        <v>99</v>
      </c>
      <c r="C92" s="134">
        <v>899</v>
      </c>
      <c r="D92" s="134">
        <v>969</v>
      </c>
      <c r="E92" s="134">
        <v>1075</v>
      </c>
      <c r="F92" s="134">
        <v>1156</v>
      </c>
    </row>
    <row r="93" spans="1:6" s="13" customFormat="1" ht="20.25" customHeight="1" x14ac:dyDescent="0.25">
      <c r="A93" s="30">
        <v>7</v>
      </c>
      <c r="B93" s="15" t="s">
        <v>102</v>
      </c>
      <c r="C93" s="134">
        <v>690</v>
      </c>
      <c r="D93" s="134">
        <v>731</v>
      </c>
      <c r="E93" s="134">
        <v>886</v>
      </c>
      <c r="F93" s="134">
        <v>909</v>
      </c>
    </row>
    <row r="94" spans="1:6" s="13" customFormat="1" ht="20.25" customHeight="1" x14ac:dyDescent="0.25">
      <c r="A94" s="14">
        <v>8</v>
      </c>
      <c r="B94" s="15" t="s">
        <v>105</v>
      </c>
      <c r="C94" s="134">
        <v>878</v>
      </c>
      <c r="D94" s="134">
        <v>1013</v>
      </c>
      <c r="E94" s="134">
        <v>1036</v>
      </c>
      <c r="F94" s="134">
        <v>1079</v>
      </c>
    </row>
    <row r="95" spans="1:6" s="13" customFormat="1" ht="20.25" customHeight="1" x14ac:dyDescent="0.25">
      <c r="A95" s="30">
        <v>9</v>
      </c>
      <c r="B95" s="15" t="s">
        <v>83</v>
      </c>
      <c r="C95" s="134">
        <v>784</v>
      </c>
      <c r="D95" s="134">
        <v>916</v>
      </c>
      <c r="E95" s="134">
        <v>951</v>
      </c>
      <c r="F95" s="134">
        <v>983</v>
      </c>
    </row>
    <row r="96" spans="1:6" s="13" customFormat="1" ht="20.25" customHeight="1" x14ac:dyDescent="0.25">
      <c r="A96" s="14">
        <v>10</v>
      </c>
      <c r="B96" s="15" t="s">
        <v>114</v>
      </c>
      <c r="C96" s="134">
        <v>1544</v>
      </c>
      <c r="D96" s="134">
        <v>1574</v>
      </c>
      <c r="E96" s="134">
        <v>1726</v>
      </c>
      <c r="F96" s="134">
        <v>1765</v>
      </c>
    </row>
    <row r="97" spans="1:6" s="13" customFormat="1" ht="20.25" customHeight="1" x14ac:dyDescent="0.25">
      <c r="A97" s="30">
        <v>11</v>
      </c>
      <c r="B97" s="15" t="s">
        <v>116</v>
      </c>
      <c r="C97" s="134">
        <v>855</v>
      </c>
      <c r="D97" s="134">
        <v>978</v>
      </c>
      <c r="E97" s="134">
        <v>1048</v>
      </c>
      <c r="F97" s="134">
        <v>1067</v>
      </c>
    </row>
    <row r="98" spans="1:6" s="13" customFormat="1" ht="20.25" customHeight="1" x14ac:dyDescent="0.25">
      <c r="A98" s="14">
        <v>12</v>
      </c>
      <c r="B98" s="15" t="s">
        <v>118</v>
      </c>
      <c r="C98" s="134">
        <v>1367</v>
      </c>
      <c r="D98" s="134">
        <v>1546</v>
      </c>
      <c r="E98" s="134">
        <v>1459</v>
      </c>
      <c r="F98" s="134">
        <v>144</v>
      </c>
    </row>
    <row r="99" spans="1:6" s="13" customFormat="1" ht="20.25" customHeight="1" x14ac:dyDescent="0.25">
      <c r="A99" s="30">
        <v>13</v>
      </c>
      <c r="B99" s="15" t="s">
        <v>110</v>
      </c>
      <c r="C99" s="134">
        <v>1187</v>
      </c>
      <c r="D99" s="134">
        <v>1244</v>
      </c>
      <c r="E99" s="134">
        <v>1250</v>
      </c>
      <c r="F99" s="134">
        <v>1256</v>
      </c>
    </row>
    <row r="100" spans="1:6" x14ac:dyDescent="0.25">
      <c r="A100" s="198" t="s">
        <v>8</v>
      </c>
      <c r="B100" s="199"/>
      <c r="C100" s="141">
        <f>SUM(C87:C99)</f>
        <v>15903</v>
      </c>
      <c r="D100" s="141">
        <f>SUM(D87:D99)</f>
        <v>18037</v>
      </c>
      <c r="E100" s="141">
        <f>SUM(E87:E99)</f>
        <v>18917</v>
      </c>
      <c r="F100" s="141">
        <f>SUM(F87:F99)</f>
        <v>18170</v>
      </c>
    </row>
    <row r="102" spans="1:6" x14ac:dyDescent="0.25">
      <c r="D102" t="s">
        <v>148</v>
      </c>
      <c r="E102" s="118" t="s">
        <v>50</v>
      </c>
      <c r="F102" s="115"/>
    </row>
    <row r="103" spans="1:6" x14ac:dyDescent="0.25">
      <c r="E103" s="194" t="s">
        <v>49</v>
      </c>
      <c r="F103" s="194"/>
    </row>
    <row r="104" spans="1:6" x14ac:dyDescent="0.25">
      <c r="E104" s="192" t="s">
        <v>64</v>
      </c>
      <c r="F104" s="192"/>
    </row>
    <row r="105" spans="1:6" x14ac:dyDescent="0.25">
      <c r="E105" s="131"/>
      <c r="F105" s="115"/>
    </row>
    <row r="106" spans="1:6" x14ac:dyDescent="0.25">
      <c r="E106" s="131"/>
      <c r="F106" s="115"/>
    </row>
    <row r="107" spans="1:6" x14ac:dyDescent="0.25">
      <c r="E107" s="193" t="s">
        <v>141</v>
      </c>
      <c r="F107" s="193"/>
    </row>
    <row r="108" spans="1:6" x14ac:dyDescent="0.25">
      <c r="E108" s="192" t="s">
        <v>95</v>
      </c>
      <c r="F108" s="192"/>
    </row>
    <row r="109" spans="1:6" x14ac:dyDescent="0.25">
      <c r="E109" s="192" t="s">
        <v>66</v>
      </c>
      <c r="F109" s="192"/>
    </row>
  </sheetData>
  <mergeCells count="31">
    <mergeCell ref="E109:F109"/>
    <mergeCell ref="A100:B100"/>
    <mergeCell ref="E103:F103"/>
    <mergeCell ref="E104:F104"/>
    <mergeCell ref="E107:F107"/>
    <mergeCell ref="E108:F108"/>
    <mergeCell ref="A64:B64"/>
    <mergeCell ref="A7:A9"/>
    <mergeCell ref="C7:F7"/>
    <mergeCell ref="C8:D8"/>
    <mergeCell ref="E8:F8"/>
    <mergeCell ref="B7:B9"/>
    <mergeCell ref="A4:E4"/>
    <mergeCell ref="A1:F1"/>
    <mergeCell ref="A2:F2"/>
    <mergeCell ref="A3:F3"/>
    <mergeCell ref="A5:F5"/>
    <mergeCell ref="E68:F68"/>
    <mergeCell ref="E71:F71"/>
    <mergeCell ref="E72:F72"/>
    <mergeCell ref="E73:F73"/>
    <mergeCell ref="E67:F67"/>
    <mergeCell ref="A83:A85"/>
    <mergeCell ref="B83:B85"/>
    <mergeCell ref="C83:F83"/>
    <mergeCell ref="C84:F84"/>
    <mergeCell ref="A77:F77"/>
    <mergeCell ref="A78:F78"/>
    <mergeCell ref="A79:F79"/>
    <mergeCell ref="A80:E80"/>
    <mergeCell ref="A81:F81"/>
  </mergeCells>
  <pageMargins left="0.51181102362204722" right="0.23622047244094491" top="0.74803149606299213" bottom="0.35433070866141736" header="0.31496062992125984" footer="0.31496062992125984"/>
  <pageSetup paperSize="256" scale="73" orientation="portrait" horizontalDpi="4294967293" r:id="rId1"/>
  <rowBreaks count="3" manualBreakCount="3">
    <brk id="54" max="5" man="1"/>
    <brk id="75" max="5" man="1"/>
    <brk id="111" max="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F28"/>
  <sheetViews>
    <sheetView view="pageBreakPreview" topLeftCell="C8" zoomScale="60" zoomScaleNormal="85" workbookViewId="0">
      <selection activeCell="B8" sqref="B8:B9"/>
    </sheetView>
  </sheetViews>
  <sheetFormatPr defaultRowHeight="15" x14ac:dyDescent="0.25"/>
  <cols>
    <col min="1" max="1" width="3.85546875" customWidth="1"/>
    <col min="2" max="2" width="74.140625" customWidth="1"/>
    <col min="3" max="3" width="19.42578125" customWidth="1"/>
    <col min="4" max="4" width="17" customWidth="1"/>
    <col min="5" max="5" width="15.7109375" customWidth="1"/>
    <col min="6" max="6" width="20" customWidth="1"/>
    <col min="7" max="7" width="7.42578125" customWidth="1"/>
  </cols>
  <sheetData>
    <row r="1" spans="1:6" ht="18.75" x14ac:dyDescent="0.25">
      <c r="A1" s="161" t="s">
        <v>52</v>
      </c>
      <c r="B1" s="161"/>
      <c r="C1" s="161"/>
      <c r="D1" s="161"/>
      <c r="E1" s="161"/>
      <c r="F1" s="161"/>
    </row>
    <row r="2" spans="1:6" ht="30" x14ac:dyDescent="0.25">
      <c r="A2" s="162" t="s">
        <v>53</v>
      </c>
      <c r="B2" s="162"/>
      <c r="C2" s="162"/>
      <c r="D2" s="162"/>
      <c r="E2" s="162"/>
      <c r="F2" s="162"/>
    </row>
    <row r="3" spans="1:6" x14ac:dyDescent="0.25">
      <c r="A3" s="163" t="s">
        <v>54</v>
      </c>
      <c r="B3" s="163"/>
      <c r="C3" s="163"/>
      <c r="D3" s="163"/>
      <c r="E3" s="163"/>
      <c r="F3" s="163"/>
    </row>
    <row r="4" spans="1:6" x14ac:dyDescent="0.25">
      <c r="A4" s="171"/>
      <c r="B4" s="171"/>
      <c r="C4" s="171"/>
      <c r="D4" s="171"/>
      <c r="E4" s="171"/>
    </row>
    <row r="5" spans="1:6" x14ac:dyDescent="0.25">
      <c r="A5" s="200" t="s">
        <v>137</v>
      </c>
      <c r="B5" s="200"/>
      <c r="C5" s="200"/>
      <c r="D5" s="200"/>
      <c r="E5" s="200"/>
      <c r="F5" s="200"/>
    </row>
    <row r="6" spans="1:6" x14ac:dyDescent="0.25">
      <c r="A6" s="200" t="s">
        <v>138</v>
      </c>
      <c r="B6" s="200"/>
      <c r="C6" s="200"/>
      <c r="D6" s="200"/>
      <c r="E6" s="200"/>
      <c r="F6" s="200"/>
    </row>
    <row r="7" spans="1:6" ht="22.5" customHeight="1" x14ac:dyDescent="0.25">
      <c r="A7" s="115"/>
      <c r="B7" s="116" t="s">
        <v>36</v>
      </c>
      <c r="C7" s="115"/>
      <c r="D7" s="115"/>
      <c r="E7" s="115"/>
      <c r="F7" s="115"/>
    </row>
    <row r="8" spans="1:6" ht="18.75" customHeight="1" x14ac:dyDescent="0.35">
      <c r="A8" s="202" t="s">
        <v>25</v>
      </c>
      <c r="B8" s="202" t="s">
        <v>33</v>
      </c>
      <c r="C8" s="204" t="s">
        <v>35</v>
      </c>
      <c r="D8" s="204"/>
      <c r="E8" s="204"/>
      <c r="F8" s="204"/>
    </row>
    <row r="9" spans="1:6" ht="81.75" customHeight="1" x14ac:dyDescent="0.25">
      <c r="A9" s="203"/>
      <c r="B9" s="203"/>
      <c r="C9" s="147" t="s">
        <v>40</v>
      </c>
      <c r="D9" s="147" t="s">
        <v>41</v>
      </c>
      <c r="E9" s="147" t="s">
        <v>42</v>
      </c>
      <c r="F9" s="147" t="s">
        <v>34</v>
      </c>
    </row>
    <row r="10" spans="1:6" ht="23.25" customHeight="1" x14ac:dyDescent="0.25"/>
    <row r="11" spans="1:6" s="13" customFormat="1" ht="49.5" customHeight="1" x14ac:dyDescent="0.25">
      <c r="A11" s="148">
        <v>1</v>
      </c>
      <c r="B11" s="149" t="s">
        <v>26</v>
      </c>
      <c r="C11" s="148">
        <v>87</v>
      </c>
      <c r="D11" s="148">
        <v>100</v>
      </c>
      <c r="E11" s="148">
        <v>20</v>
      </c>
      <c r="F11" s="148">
        <v>10</v>
      </c>
    </row>
    <row r="12" spans="1:6" s="13" customFormat="1" ht="49.5" customHeight="1" x14ac:dyDescent="0.25">
      <c r="A12" s="150">
        <v>2</v>
      </c>
      <c r="B12" s="151" t="s">
        <v>27</v>
      </c>
      <c r="C12" s="150">
        <v>268</v>
      </c>
      <c r="D12" s="150">
        <v>444</v>
      </c>
      <c r="E12" s="150">
        <v>154</v>
      </c>
      <c r="F12" s="150">
        <v>30</v>
      </c>
    </row>
    <row r="13" spans="1:6" s="13" customFormat="1" ht="49.5" customHeight="1" x14ac:dyDescent="0.25">
      <c r="A13" s="150">
        <v>3</v>
      </c>
      <c r="B13" s="151" t="s">
        <v>28</v>
      </c>
      <c r="C13" s="150">
        <v>42</v>
      </c>
      <c r="D13" s="150"/>
      <c r="E13" s="150">
        <v>63</v>
      </c>
      <c r="F13" s="150"/>
    </row>
    <row r="14" spans="1:6" s="13" customFormat="1" ht="49.5" customHeight="1" x14ac:dyDescent="0.25">
      <c r="A14" s="150">
        <v>4</v>
      </c>
      <c r="B14" s="151" t="s">
        <v>29</v>
      </c>
      <c r="C14" s="150"/>
      <c r="D14" s="150"/>
      <c r="E14" s="150"/>
      <c r="F14" s="150"/>
    </row>
    <row r="15" spans="1:6" s="13" customFormat="1" ht="49.5" customHeight="1" x14ac:dyDescent="0.25">
      <c r="A15" s="150">
        <v>5</v>
      </c>
      <c r="B15" s="151" t="s">
        <v>30</v>
      </c>
      <c r="C15" s="150">
        <v>21</v>
      </c>
      <c r="D15" s="150"/>
      <c r="E15" s="150"/>
      <c r="F15" s="150"/>
    </row>
    <row r="16" spans="1:6" s="13" customFormat="1" ht="49.5" customHeight="1" x14ac:dyDescent="0.25">
      <c r="A16" s="150">
        <v>6</v>
      </c>
      <c r="B16" s="151" t="s">
        <v>31</v>
      </c>
      <c r="C16" s="150">
        <v>8</v>
      </c>
      <c r="D16" s="150"/>
      <c r="E16" s="150">
        <v>14</v>
      </c>
      <c r="F16" s="150"/>
    </row>
    <row r="17" spans="1:6" s="13" customFormat="1" ht="92.25" customHeight="1" x14ac:dyDescent="0.25">
      <c r="A17" s="150">
        <v>7</v>
      </c>
      <c r="B17" s="152" t="s">
        <v>39</v>
      </c>
      <c r="C17" s="153"/>
      <c r="D17" s="153">
        <v>100</v>
      </c>
      <c r="E17" s="153"/>
      <c r="F17" s="153"/>
    </row>
    <row r="18" spans="1:6" s="13" customFormat="1" ht="49.5" customHeight="1" x14ac:dyDescent="0.25">
      <c r="A18" s="150">
        <v>8</v>
      </c>
      <c r="B18" s="152" t="s">
        <v>43</v>
      </c>
      <c r="C18" s="153">
        <v>5</v>
      </c>
      <c r="D18" s="153"/>
      <c r="E18" s="153"/>
      <c r="F18" s="153"/>
    </row>
    <row r="19" spans="1:6" s="13" customFormat="1" ht="49.5" customHeight="1" x14ac:dyDescent="0.25">
      <c r="A19" s="154">
        <v>9</v>
      </c>
      <c r="B19" s="155" t="s">
        <v>32</v>
      </c>
      <c r="C19" s="154"/>
      <c r="D19" s="154"/>
      <c r="E19" s="154"/>
      <c r="F19" s="154">
        <v>10</v>
      </c>
    </row>
    <row r="20" spans="1:6" ht="20.25" customHeight="1" x14ac:dyDescent="0.25">
      <c r="A20" s="115"/>
      <c r="B20" s="139" t="s">
        <v>48</v>
      </c>
      <c r="C20" s="115"/>
      <c r="D20" s="115"/>
      <c r="E20" s="115"/>
      <c r="F20" s="115"/>
    </row>
    <row r="21" spans="1:6" ht="21" customHeight="1" x14ac:dyDescent="0.25">
      <c r="A21" s="115"/>
      <c r="B21" s="115"/>
      <c r="C21" s="135" t="s">
        <v>50</v>
      </c>
      <c r="D21" s="136"/>
      <c r="E21" s="136"/>
      <c r="F21" s="136"/>
    </row>
    <row r="22" spans="1:6" ht="22.5" customHeight="1" x14ac:dyDescent="0.25">
      <c r="A22" s="115"/>
      <c r="B22" s="115"/>
      <c r="C22" s="136"/>
      <c r="D22" s="137" t="s">
        <v>49</v>
      </c>
      <c r="E22" s="136"/>
      <c r="F22" s="136"/>
    </row>
    <row r="23" spans="1:6" ht="20.25" customHeight="1" x14ac:dyDescent="0.25">
      <c r="A23" s="115"/>
      <c r="B23" s="115"/>
      <c r="C23" s="201" t="s">
        <v>64</v>
      </c>
      <c r="D23" s="201"/>
      <c r="E23" s="201"/>
      <c r="F23" s="136"/>
    </row>
    <row r="24" spans="1:6" x14ac:dyDescent="0.25">
      <c r="A24" s="115"/>
      <c r="B24" s="115"/>
      <c r="C24" s="136"/>
      <c r="D24" s="138"/>
      <c r="E24" s="136"/>
      <c r="F24" s="136"/>
    </row>
    <row r="25" spans="1:6" x14ac:dyDescent="0.25">
      <c r="A25" s="115"/>
      <c r="B25" s="115"/>
      <c r="C25" s="136"/>
      <c r="D25" s="138"/>
      <c r="E25" s="136"/>
      <c r="F25" s="136"/>
    </row>
    <row r="26" spans="1:6" ht="24" customHeight="1" x14ac:dyDescent="0.25">
      <c r="A26" s="115"/>
      <c r="B26" s="115"/>
      <c r="C26" s="205" t="s">
        <v>65</v>
      </c>
      <c r="D26" s="205"/>
      <c r="E26" s="205"/>
      <c r="F26" s="136"/>
    </row>
    <row r="27" spans="1:6" ht="20.25" customHeight="1" x14ac:dyDescent="0.25">
      <c r="A27" s="115"/>
      <c r="B27" s="115"/>
      <c r="C27" s="201" t="s">
        <v>95</v>
      </c>
      <c r="D27" s="201"/>
      <c r="E27" s="201"/>
      <c r="F27" s="136"/>
    </row>
    <row r="28" spans="1:6" ht="24" customHeight="1" x14ac:dyDescent="0.25">
      <c r="A28" s="115"/>
      <c r="B28" s="115"/>
      <c r="C28" s="201" t="s">
        <v>66</v>
      </c>
      <c r="D28" s="201"/>
      <c r="E28" s="201"/>
      <c r="F28" s="136"/>
    </row>
  </sheetData>
  <mergeCells count="13">
    <mergeCell ref="C27:E27"/>
    <mergeCell ref="C28:E28"/>
    <mergeCell ref="A8:A9"/>
    <mergeCell ref="B8:B9"/>
    <mergeCell ref="C8:F8"/>
    <mergeCell ref="C23:E23"/>
    <mergeCell ref="C26:E26"/>
    <mergeCell ref="A5:F5"/>
    <mergeCell ref="A6:F6"/>
    <mergeCell ref="A4:E4"/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paperSize="5" scale="7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AA27-8AA2-4C82-91F3-7EA3FEC7B988}">
  <dimension ref="A1:F22"/>
  <sheetViews>
    <sheetView tabSelected="1" workbookViewId="0">
      <selection activeCell="B4" sqref="B4:F19"/>
    </sheetView>
  </sheetViews>
  <sheetFormatPr defaultRowHeight="15" x14ac:dyDescent="0.25"/>
  <cols>
    <col min="2" max="2" width="34.85546875" customWidth="1"/>
    <col min="3" max="3" width="15.28515625" customWidth="1"/>
    <col min="4" max="4" width="17.140625" customWidth="1"/>
    <col min="5" max="5" width="13.42578125" customWidth="1"/>
    <col min="6" max="6" width="22.5703125" customWidth="1"/>
  </cols>
  <sheetData>
    <row r="1" spans="1:6" ht="18.75" x14ac:dyDescent="0.3">
      <c r="A1" s="207" t="s">
        <v>156</v>
      </c>
      <c r="B1" s="207"/>
      <c r="C1" s="207"/>
      <c r="D1" s="207"/>
      <c r="E1" s="207"/>
      <c r="F1" s="207"/>
    </row>
    <row r="2" spans="1:6" ht="18.75" x14ac:dyDescent="0.3">
      <c r="A2" s="207" t="s">
        <v>155</v>
      </c>
      <c r="B2" s="207"/>
      <c r="C2" s="207"/>
      <c r="D2" s="207"/>
      <c r="E2" s="207"/>
      <c r="F2" s="207"/>
    </row>
    <row r="3" spans="1:6" ht="15.75" x14ac:dyDescent="0.25">
      <c r="A3" s="160"/>
      <c r="B3" s="160"/>
      <c r="C3" s="160"/>
      <c r="D3" s="160"/>
      <c r="E3" s="160"/>
      <c r="F3" s="160"/>
    </row>
    <row r="4" spans="1:6" ht="15.75" customHeight="1" x14ac:dyDescent="0.25">
      <c r="A4" s="208" t="s">
        <v>0</v>
      </c>
      <c r="B4" s="208" t="s">
        <v>1</v>
      </c>
      <c r="C4" s="210" t="s">
        <v>154</v>
      </c>
      <c r="D4" s="211"/>
      <c r="E4" s="211"/>
      <c r="F4" s="212"/>
    </row>
    <row r="5" spans="1:6" ht="15.75" customHeight="1" x14ac:dyDescent="0.25">
      <c r="A5" s="208"/>
      <c r="B5" s="208"/>
      <c r="C5" s="213"/>
      <c r="D5" s="214"/>
      <c r="E5" s="214"/>
      <c r="F5" s="215"/>
    </row>
    <row r="6" spans="1:6" ht="15.75" x14ac:dyDescent="0.25">
      <c r="A6" s="208"/>
      <c r="B6" s="208"/>
      <c r="C6" s="159" t="s">
        <v>143</v>
      </c>
      <c r="D6" s="159" t="s">
        <v>144</v>
      </c>
      <c r="E6" s="159" t="s">
        <v>145</v>
      </c>
      <c r="F6" s="159" t="s">
        <v>146</v>
      </c>
    </row>
    <row r="7" spans="1:6" ht="15.75" x14ac:dyDescent="0.25">
      <c r="A7" s="158">
        <v>1</v>
      </c>
      <c r="B7" s="157" t="s">
        <v>55</v>
      </c>
      <c r="C7" s="156">
        <v>932</v>
      </c>
      <c r="D7" s="156">
        <v>1222</v>
      </c>
      <c r="E7" s="156">
        <v>1222</v>
      </c>
      <c r="F7" s="156">
        <v>1236</v>
      </c>
    </row>
    <row r="8" spans="1:6" ht="15.75" x14ac:dyDescent="0.25">
      <c r="A8" s="158">
        <v>2</v>
      </c>
      <c r="B8" s="157" t="s">
        <v>78</v>
      </c>
      <c r="C8" s="156">
        <v>1321</v>
      </c>
      <c r="D8" s="156">
        <v>1708</v>
      </c>
      <c r="E8" s="156">
        <v>1638</v>
      </c>
      <c r="F8" s="156">
        <v>1705</v>
      </c>
    </row>
    <row r="9" spans="1:6" ht="15.75" x14ac:dyDescent="0.25">
      <c r="A9" s="158">
        <v>3</v>
      </c>
      <c r="B9" s="157" t="s">
        <v>85</v>
      </c>
      <c r="C9" s="156">
        <v>1410</v>
      </c>
      <c r="D9" s="156">
        <v>1615</v>
      </c>
      <c r="E9" s="156">
        <v>1795</v>
      </c>
      <c r="F9" s="156">
        <v>1872</v>
      </c>
    </row>
    <row r="10" spans="1:6" ht="15.75" x14ac:dyDescent="0.25">
      <c r="A10" s="158">
        <v>4</v>
      </c>
      <c r="B10" s="157" t="s">
        <v>61</v>
      </c>
      <c r="C10" s="156">
        <v>2616</v>
      </c>
      <c r="D10" s="156">
        <v>2958</v>
      </c>
      <c r="E10" s="156">
        <v>3095</v>
      </c>
      <c r="F10" s="156">
        <v>3214</v>
      </c>
    </row>
    <row r="11" spans="1:6" ht="15.75" x14ac:dyDescent="0.25">
      <c r="A11" s="158">
        <v>5</v>
      </c>
      <c r="B11" s="157" t="s">
        <v>96</v>
      </c>
      <c r="C11" s="156">
        <v>1420</v>
      </c>
      <c r="D11" s="156">
        <v>1563</v>
      </c>
      <c r="E11" s="156">
        <v>1736</v>
      </c>
      <c r="F11" s="156">
        <v>1784</v>
      </c>
    </row>
    <row r="12" spans="1:6" ht="15.75" x14ac:dyDescent="0.25">
      <c r="A12" s="158">
        <v>6</v>
      </c>
      <c r="B12" s="157" t="s">
        <v>99</v>
      </c>
      <c r="C12" s="156">
        <v>899</v>
      </c>
      <c r="D12" s="156">
        <v>969</v>
      </c>
      <c r="E12" s="156">
        <v>1075</v>
      </c>
      <c r="F12" s="156">
        <v>1156</v>
      </c>
    </row>
    <row r="13" spans="1:6" ht="15.75" x14ac:dyDescent="0.25">
      <c r="A13" s="158">
        <v>7</v>
      </c>
      <c r="B13" s="157" t="s">
        <v>102</v>
      </c>
      <c r="C13" s="156">
        <v>690</v>
      </c>
      <c r="D13" s="156">
        <v>731</v>
      </c>
      <c r="E13" s="156">
        <v>886</v>
      </c>
      <c r="F13" s="156">
        <v>909</v>
      </c>
    </row>
    <row r="14" spans="1:6" ht="15.75" x14ac:dyDescent="0.25">
      <c r="A14" s="158">
        <v>8</v>
      </c>
      <c r="B14" s="157" t="s">
        <v>105</v>
      </c>
      <c r="C14" s="156">
        <v>878</v>
      </c>
      <c r="D14" s="156">
        <v>1013</v>
      </c>
      <c r="E14" s="156">
        <v>1036</v>
      </c>
      <c r="F14" s="156">
        <v>1079</v>
      </c>
    </row>
    <row r="15" spans="1:6" ht="15.75" x14ac:dyDescent="0.25">
      <c r="A15" s="158">
        <v>9</v>
      </c>
      <c r="B15" s="157" t="s">
        <v>83</v>
      </c>
      <c r="C15" s="156">
        <v>784</v>
      </c>
      <c r="D15" s="156">
        <v>916</v>
      </c>
      <c r="E15" s="156">
        <v>951</v>
      </c>
      <c r="F15" s="156">
        <v>983</v>
      </c>
    </row>
    <row r="16" spans="1:6" ht="15.75" x14ac:dyDescent="0.25">
      <c r="A16" s="158">
        <v>10</v>
      </c>
      <c r="B16" s="157" t="s">
        <v>114</v>
      </c>
      <c r="C16" s="156">
        <v>1544</v>
      </c>
      <c r="D16" s="156">
        <v>1574</v>
      </c>
      <c r="E16" s="156">
        <v>1726</v>
      </c>
      <c r="F16" s="156">
        <v>1765</v>
      </c>
    </row>
    <row r="17" spans="1:6" ht="15.75" x14ac:dyDescent="0.25">
      <c r="A17" s="158">
        <v>11</v>
      </c>
      <c r="B17" s="157" t="s">
        <v>116</v>
      </c>
      <c r="C17" s="156">
        <v>855</v>
      </c>
      <c r="D17" s="156">
        <v>978</v>
      </c>
      <c r="E17" s="156">
        <v>1048</v>
      </c>
      <c r="F17" s="156">
        <v>1067</v>
      </c>
    </row>
    <row r="18" spans="1:6" ht="15.75" x14ac:dyDescent="0.25">
      <c r="A18" s="158">
        <v>12</v>
      </c>
      <c r="B18" s="157" t="s">
        <v>118</v>
      </c>
      <c r="C18" s="156">
        <v>1367</v>
      </c>
      <c r="D18" s="156">
        <v>1546</v>
      </c>
      <c r="E18" s="156">
        <v>1459</v>
      </c>
      <c r="F18" s="156">
        <v>144</v>
      </c>
    </row>
    <row r="19" spans="1:6" ht="15.75" x14ac:dyDescent="0.25">
      <c r="A19" s="158">
        <v>13</v>
      </c>
      <c r="B19" s="157" t="s">
        <v>110</v>
      </c>
      <c r="C19" s="156">
        <v>1187</v>
      </c>
      <c r="D19" s="156">
        <v>1244</v>
      </c>
      <c r="E19" s="156">
        <v>1250</v>
      </c>
      <c r="F19" s="156">
        <v>1256</v>
      </c>
    </row>
    <row r="20" spans="1:6" ht="15.75" x14ac:dyDescent="0.25">
      <c r="A20" s="206" t="s">
        <v>8</v>
      </c>
      <c r="B20" s="206"/>
      <c r="C20" s="156">
        <f>SUM(C7:C19)</f>
        <v>15903</v>
      </c>
      <c r="D20" s="156">
        <f>SUM(D7:D19)</f>
        <v>18037</v>
      </c>
      <c r="E20" s="156">
        <f>SUM(E7:E19)</f>
        <v>18917</v>
      </c>
      <c r="F20" s="156">
        <f>SUM(F7:F19)</f>
        <v>18170</v>
      </c>
    </row>
    <row r="21" spans="1:6" ht="15.75" x14ac:dyDescent="0.25">
      <c r="A21" s="1"/>
      <c r="B21" s="1"/>
      <c r="C21" s="1"/>
      <c r="D21" s="1"/>
      <c r="E21" s="1"/>
      <c r="F21" s="1"/>
    </row>
    <row r="22" spans="1:6" ht="15.75" x14ac:dyDescent="0.25">
      <c r="A22" s="1"/>
      <c r="B22" s="1"/>
      <c r="C22" s="1"/>
      <c r="D22" s="1"/>
      <c r="E22" s="1"/>
      <c r="F22" s="1"/>
    </row>
  </sheetData>
  <mergeCells count="6">
    <mergeCell ref="A20:B20"/>
    <mergeCell ref="A1:F1"/>
    <mergeCell ref="A2:F2"/>
    <mergeCell ref="B4:B6"/>
    <mergeCell ref="A4:A6"/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D24"/>
  <sheetViews>
    <sheetView view="pageBreakPreview" zoomScaleNormal="100" zoomScaleSheetLayoutView="100" workbookViewId="0">
      <selection activeCell="B7" sqref="B7"/>
    </sheetView>
  </sheetViews>
  <sheetFormatPr defaultRowHeight="15" x14ac:dyDescent="0.25"/>
  <cols>
    <col min="1" max="1" width="3.7109375" customWidth="1"/>
    <col min="2" max="2" width="57.85546875" customWidth="1"/>
    <col min="3" max="3" width="19.42578125" customWidth="1"/>
    <col min="4" max="4" width="11.42578125" customWidth="1"/>
  </cols>
  <sheetData>
    <row r="1" spans="1:4" ht="18.75" x14ac:dyDescent="0.25">
      <c r="A1" s="161" t="s">
        <v>52</v>
      </c>
      <c r="B1" s="161"/>
      <c r="C1" s="161"/>
      <c r="D1" s="161"/>
    </row>
    <row r="2" spans="1:4" ht="30" x14ac:dyDescent="0.25">
      <c r="A2" s="162" t="s">
        <v>53</v>
      </c>
      <c r="B2" s="162"/>
      <c r="C2" s="162"/>
      <c r="D2" s="162"/>
    </row>
    <row r="3" spans="1:4" x14ac:dyDescent="0.25">
      <c r="A3" s="209" t="s">
        <v>54</v>
      </c>
      <c r="B3" s="209"/>
      <c r="C3" s="209"/>
      <c r="D3" s="209"/>
    </row>
    <row r="4" spans="1:4" x14ac:dyDescent="0.25">
      <c r="A4" s="171"/>
      <c r="B4" s="171"/>
      <c r="C4" s="171"/>
      <c r="D4" s="171"/>
    </row>
    <row r="7" spans="1:4" x14ac:dyDescent="0.25">
      <c r="B7" s="19" t="s">
        <v>44</v>
      </c>
      <c r="C7" s="20"/>
      <c r="D7" s="20"/>
    </row>
    <row r="8" spans="1:4" x14ac:dyDescent="0.25">
      <c r="B8" s="12"/>
    </row>
    <row r="9" spans="1:4" ht="33.75" customHeight="1" x14ac:dyDescent="0.25">
      <c r="A9" s="26" t="s">
        <v>25</v>
      </c>
      <c r="B9" s="27" t="s">
        <v>33</v>
      </c>
      <c r="C9" s="26" t="s">
        <v>37</v>
      </c>
      <c r="D9" s="27" t="s">
        <v>38</v>
      </c>
    </row>
    <row r="10" spans="1:4" ht="10.5" customHeight="1" x14ac:dyDescent="0.25">
      <c r="A10" s="28">
        <v>1</v>
      </c>
      <c r="B10" s="29">
        <v>2</v>
      </c>
      <c r="C10" s="29">
        <v>3</v>
      </c>
      <c r="D10" s="29">
        <v>4</v>
      </c>
    </row>
    <row r="11" spans="1:4" ht="33.75" customHeight="1" x14ac:dyDescent="0.25">
      <c r="A11" s="30">
        <v>1</v>
      </c>
      <c r="B11" s="31" t="s">
        <v>45</v>
      </c>
      <c r="C11" s="32"/>
      <c r="D11" s="32" t="s">
        <v>101</v>
      </c>
    </row>
    <row r="12" spans="1:4" ht="21.75" customHeight="1" x14ac:dyDescent="0.25">
      <c r="A12" s="14">
        <v>2</v>
      </c>
      <c r="B12" s="15" t="s">
        <v>46</v>
      </c>
      <c r="C12" s="15"/>
      <c r="D12" s="15" t="s">
        <v>101</v>
      </c>
    </row>
    <row r="13" spans="1:4" ht="21.75" customHeight="1" x14ac:dyDescent="0.25">
      <c r="A13" s="16">
        <v>3</v>
      </c>
      <c r="B13" s="17" t="s">
        <v>47</v>
      </c>
      <c r="C13" s="18"/>
      <c r="D13" s="18" t="s">
        <v>101</v>
      </c>
    </row>
    <row r="14" spans="1:4" x14ac:dyDescent="0.25">
      <c r="A14" s="8"/>
      <c r="B14" s="21" t="s">
        <v>48</v>
      </c>
    </row>
    <row r="15" spans="1:4" x14ac:dyDescent="0.25">
      <c r="A15" s="8"/>
      <c r="B15" s="21"/>
      <c r="C15" t="s">
        <v>149</v>
      </c>
    </row>
    <row r="16" spans="1:4" x14ac:dyDescent="0.25">
      <c r="A16" s="8"/>
      <c r="C16" s="171" t="s">
        <v>49</v>
      </c>
      <c r="D16" s="171"/>
    </row>
    <row r="17" spans="1:4" x14ac:dyDescent="0.25">
      <c r="A17" s="8"/>
      <c r="C17" s="171" t="s">
        <v>64</v>
      </c>
      <c r="D17" s="171"/>
    </row>
    <row r="18" spans="1:4" x14ac:dyDescent="0.25">
      <c r="A18" s="8"/>
    </row>
    <row r="20" spans="1:4" x14ac:dyDescent="0.25">
      <c r="C20" s="193" t="s">
        <v>141</v>
      </c>
      <c r="D20" s="193"/>
    </row>
    <row r="21" spans="1:4" x14ac:dyDescent="0.25">
      <c r="C21" s="192" t="s">
        <v>95</v>
      </c>
      <c r="D21" s="192"/>
    </row>
    <row r="22" spans="1:4" x14ac:dyDescent="0.25">
      <c r="B22" s="45"/>
      <c r="C22" s="192" t="s">
        <v>66</v>
      </c>
      <c r="D22" s="192"/>
    </row>
    <row r="24" spans="1:4" x14ac:dyDescent="0.25">
      <c r="B24" s="45" t="s">
        <v>51</v>
      </c>
    </row>
  </sheetData>
  <mergeCells count="9">
    <mergeCell ref="C17:D17"/>
    <mergeCell ref="C20:D20"/>
    <mergeCell ref="C21:D21"/>
    <mergeCell ref="C22:D22"/>
    <mergeCell ref="A1:D1"/>
    <mergeCell ref="A2:D2"/>
    <mergeCell ref="A3:D3"/>
    <mergeCell ref="A4:D4"/>
    <mergeCell ref="C16:D16"/>
  </mergeCells>
  <pageMargins left="0.70866141732283472" right="0.70866141732283472" top="0.74803149606299213" bottom="0.74803149606299213" header="0.31496062992125984" footer="0.31496062992125984"/>
  <pageSetup scale="9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PA</vt:lpstr>
      <vt:lpstr>Bedah Rumah</vt:lpstr>
      <vt:lpstr>Rumah Ibadah</vt:lpstr>
      <vt:lpstr>Bantuan Sosial</vt:lpstr>
      <vt:lpstr> Permen 18 thn 2020</vt:lpstr>
      <vt:lpstr>Sheet1</vt:lpstr>
      <vt:lpstr>Permen 18 2020</vt:lpstr>
      <vt:lpstr>' Permen 18 thn 2020'!Print_Area</vt:lpstr>
      <vt:lpstr>'Bantuan Sosial'!Print_Area</vt:lpstr>
      <vt:lpstr>'Bedah Rumah'!Print_Area</vt:lpstr>
      <vt:lpstr>PA!Print_Area</vt:lpstr>
      <vt:lpstr>'Rumah Ibadah'!Print_Area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2022-04-04T04:20:33Z</cp:lastPrinted>
  <dcterms:created xsi:type="dcterms:W3CDTF">2020-01-29T02:24:20Z</dcterms:created>
  <dcterms:modified xsi:type="dcterms:W3CDTF">2022-07-05T06:13:15Z</dcterms:modified>
</cp:coreProperties>
</file>