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348" windowWidth="20100" windowHeight="7632"/>
  </bookViews>
  <sheets>
    <sheet name="Ban kem KH 20-21" sheetId="24" r:id="rId1"/>
  </sheets>
  <calcPr calcId="145621"/>
</workbook>
</file>

<file path=xl/calcChain.xml><?xml version="1.0" encoding="utf-8"?>
<calcChain xmlns="http://schemas.openxmlformats.org/spreadsheetml/2006/main">
  <c r="C102" i="24" l="1"/>
  <c r="C109" i="24"/>
  <c r="C101" i="24"/>
  <c r="C100" i="24"/>
  <c r="C99" i="24"/>
  <c r="C76" i="24"/>
  <c r="C84" i="24"/>
  <c r="C75" i="24"/>
  <c r="C74" i="24"/>
  <c r="C77" i="24"/>
  <c r="C97" i="24"/>
  <c r="C96" i="24"/>
  <c r="C93" i="24"/>
  <c r="C92" i="24"/>
  <c r="C95" i="24"/>
  <c r="C113" i="24"/>
  <c r="C98" i="24"/>
  <c r="C73" i="24"/>
  <c r="C21" i="24"/>
  <c r="C24" i="24" s="1"/>
  <c r="C26" i="24"/>
  <c r="C13" i="24"/>
  <c r="C17" i="24"/>
  <c r="C78" i="24"/>
  <c r="C60" i="24"/>
  <c r="C65" i="24"/>
  <c r="C58" i="24"/>
  <c r="C88" i="24"/>
  <c r="C68" i="24"/>
  <c r="C50" i="24"/>
  <c r="C183" i="24"/>
  <c r="C51" i="24"/>
  <c r="C39" i="24"/>
  <c r="C38" i="24"/>
  <c r="C94" i="24"/>
  <c r="C105" i="24"/>
  <c r="C80" i="24"/>
  <c r="C46" i="24"/>
  <c r="C12" i="24"/>
  <c r="C47" i="24"/>
  <c r="C64" i="24"/>
  <c r="C15" i="24" l="1"/>
  <c r="C49" i="24"/>
  <c r="C44" i="24"/>
  <c r="C89" i="24" l="1"/>
  <c r="C69" i="24"/>
  <c r="C114" i="24"/>
  <c r="C108" i="24"/>
  <c r="C107" i="24"/>
  <c r="C106" i="24"/>
  <c r="C104" i="24"/>
  <c r="C103" i="24"/>
  <c r="C83" i="24"/>
  <c r="C82" i="24"/>
  <c r="C81" i="24"/>
  <c r="C79" i="24"/>
  <c r="C63" i="24"/>
  <c r="C62" i="24"/>
  <c r="C61" i="24"/>
  <c r="C59" i="24"/>
  <c r="C259" i="24"/>
  <c r="C260" i="24" s="1"/>
  <c r="C255" i="24"/>
  <c r="C254" i="24"/>
  <c r="C251" i="24"/>
  <c r="C248" i="24"/>
  <c r="C247" i="24" s="1"/>
  <c r="C191" i="24"/>
  <c r="C192" i="24" s="1"/>
  <c r="C188" i="24"/>
  <c r="C189" i="24" s="1"/>
  <c r="C184" i="24"/>
  <c r="C135" i="24"/>
  <c r="C136" i="24" s="1"/>
  <c r="C132" i="24"/>
  <c r="C122" i="24"/>
  <c r="C121" i="24"/>
  <c r="C56" i="24"/>
  <c r="C55" i="24"/>
  <c r="C54" i="24"/>
  <c r="C53" i="24"/>
  <c r="C52" i="24"/>
  <c r="C45" i="24"/>
  <c r="C33" i="24"/>
  <c r="C34" i="24" s="1"/>
  <c r="C27" i="24"/>
  <c r="C18" i="24"/>
  <c r="C86" i="24" l="1"/>
  <c r="C111" i="24"/>
  <c r="C37" i="24"/>
  <c r="C256" i="24"/>
  <c r="C123" i="24"/>
  <c r="C125" i="24" s="1"/>
  <c r="C43" i="24"/>
  <c r="C66" i="24" s="1"/>
  <c r="C30" i="24"/>
  <c r="C31" i="24" s="1"/>
</calcChain>
</file>

<file path=xl/sharedStrings.xml><?xml version="1.0" encoding="utf-8"?>
<sst xmlns="http://schemas.openxmlformats.org/spreadsheetml/2006/main" count="240" uniqueCount="194">
  <si>
    <t>Stt</t>
  </si>
  <si>
    <t>Nội dung</t>
  </si>
  <si>
    <t>Số tiền</t>
  </si>
  <si>
    <t>I</t>
  </si>
  <si>
    <t>Tiền học môn tự chọn (Môn tin học) khối 3+4+5</t>
  </si>
  <si>
    <t>II</t>
  </si>
  <si>
    <t>Tiền nước uống tinh khiết</t>
  </si>
  <si>
    <t>A. Dự kiến chi</t>
  </si>
  <si>
    <t>Cộng dự kiến chi</t>
  </si>
  <si>
    <t>B. Dự kiến thu</t>
  </si>
  <si>
    <t>Cộng dự kiến thu</t>
  </si>
  <si>
    <t>III</t>
  </si>
  <si>
    <t>1.1</t>
  </si>
  <si>
    <t>IV</t>
  </si>
  <si>
    <t>V</t>
  </si>
  <si>
    <t>Tiền học môn tự chọn (Môn tiếng Anh) Khối 1 + 2</t>
  </si>
  <si>
    <t>Trả tiền lương +  BHXH cho giáo viên có trình độ Đại học</t>
  </si>
  <si>
    <t>1.2</t>
  </si>
  <si>
    <t>1.3</t>
  </si>
  <si>
    <t>Tiền sổ liên lạc điện tử</t>
  </si>
  <si>
    <t>Nộp 100% số tiền thu được cho Công Ty kinh doanh viễn thông thành phố (VNPT)</t>
  </si>
  <si>
    <t>A. Mức thu</t>
  </si>
  <si>
    <t>Cộng thu</t>
  </si>
  <si>
    <t>B. Dự kiến chi</t>
  </si>
  <si>
    <t>Nộp 100% kinh phí thu được cho BHXH TP</t>
  </si>
  <si>
    <t>Quỹ Khuyến học</t>
  </si>
  <si>
    <t>Thưởng cho học sinh đạt giải các hội thi cấp cơ sở, thành phố, Tỉnh, Quốc gia</t>
  </si>
  <si>
    <t>VI</t>
  </si>
  <si>
    <t>PHÒNG GD&amp;ĐT TP THÁI NGUYÊN</t>
  </si>
  <si>
    <t xml:space="preserve">       TRƯỜNG TH NHA TRANG</t>
  </si>
  <si>
    <t>PHẦN I: CÁC KHOẢN THU THỎA THUẬN</t>
  </si>
  <si>
    <t>A. Dự kiến chi:</t>
  </si>
  <si>
    <t xml:space="preserve">Thu hộ các cơ quan, tổ chức ở trong và ngoài cơ sở giáo dục </t>
  </si>
  <si>
    <t>Thu hộ các quỹ của Hội, Ban trong cơ sở giáo dục</t>
  </si>
  <si>
    <t>1.4</t>
  </si>
  <si>
    <t>Quỹ đội</t>
  </si>
  <si>
    <t>Tiền học bạ</t>
  </si>
  <si>
    <t>Thanh toán 100% cho đơn vị cung cấp theo giá bìa</t>
  </si>
  <si>
    <t>B. Dự kiến thu: Thu theo giá bìa</t>
  </si>
  <si>
    <t>Nhà trường phối hợp với Ban đại diện CMHS trường thống nhất kiểu cách, mẫu mã. Phụ huynh tự may</t>
  </si>
  <si>
    <t>DỰ TOÁN THU - CHI CÁC KHOẢN THU</t>
  </si>
  <si>
    <t>Thưởng học sinh nghèo vượt khó có thành tích cao trong học tập</t>
  </si>
  <si>
    <t>Mua văn phòng phẩm giấy in .....</t>
  </si>
  <si>
    <t>PHẦN IV CÁC KHOẢN THU HỘ - CHI HỘ</t>
  </si>
  <si>
    <t>PHẦN V: ĐỒNG PHỤC HỌC SINH</t>
  </si>
  <si>
    <t>Số dư năm học 2017-2018 chuyển sang</t>
  </si>
  <si>
    <t xml:space="preserve">Đóng BHXH, BHYT, BHTN cho giáo viên: 3.777.100đ x 21,5% x 01 GV x 9 tháng                                        </t>
  </si>
  <si>
    <t>Tiền hỗ trợ tết nguyên đán: 300.000đ x 01 người</t>
  </si>
  <si>
    <t>Tiền hỗ trợ ngày nhà giáo Việt Nam: 300.000đ x 01 người</t>
  </si>
  <si>
    <t>Tổng số học sinh K 1 + 2: 579hs: Dự kiến thu: 11.000đ/hs/ tháng</t>
  </si>
  <si>
    <t>Lương giáo viên 9 tháng; Thỏa thuận thuê 54.000đ/ tiết x 92 tiết x 9 tháng</t>
  </si>
  <si>
    <t>PHẦN II: CÁC KHOẢN THU HỘ</t>
  </si>
  <si>
    <t>Tổ chức Đại hội liên đội:</t>
  </si>
  <si>
    <t>Phong trào Hũ gạo tình thương:</t>
  </si>
  <si>
    <t>Phong trào Kế hoạch nhỏ:</t>
  </si>
  <si>
    <t>Chi khác: Hoạt động từ thiện, Hội thi cấp Thành phố, hoạt động phát sinh trong năm học theo công văn chỉ đạo của Hội đồng Đội các cấp…</t>
  </si>
  <si>
    <t>Đóng BHXH, BHYT, BHTN cho giáo viên: ( 3 tháng nghỉ hè)                                  3.777.100 x 3 tháng x 01 GV x 32%</t>
  </si>
  <si>
    <t>2.000.000</t>
  </si>
  <si>
    <t>Tổ chức ngày hội thiếu nhi vui khỏe tiến bước lên Đoàn 26.3:</t>
  </si>
  <si>
    <t>Tiền văn phòng phẩm: 01người x 100.000đ/người/học kỳ x 2 kỳ</t>
  </si>
  <si>
    <t>Chi khen thưởng giáo viên đạt danh hiệu lao động tiên tiến cuối năm học: 420.000đ/ người x 01 người = 420.0000đ</t>
  </si>
  <si>
    <t>Bảo hiểm y tế: Thu theo hướng dẫn số: 812/HD-GDĐT ngày 16/8/2019</t>
  </si>
  <si>
    <t>Nộp 100% số tiền thu được cho nhà cung cấp nước</t>
  </si>
  <si>
    <t xml:space="preserve">Thuê người trông trưa </t>
  </si>
  <si>
    <t>Giấy kiểm tra: Thu theo thực tế sử dụng</t>
  </si>
  <si>
    <t>B. Dự kiến thu: Thi đối với học sinh khối 4,5</t>
  </si>
  <si>
    <t>Năm học 2020 - 2021</t>
  </si>
  <si>
    <t>Tiền học môn tự chọn (Môn Tiếng Anh) khối 1</t>
  </si>
  <si>
    <t xml:space="preserve">Quản lý điều hành công tác bán trú (Hiệu trưởng): 01 người x 2.600.000đ/ tháng x 9 tháng  </t>
  </si>
  <si>
    <t>Giám sát công tác bán trú ( Hiệu phó) 01 người x 2.300.000đ/ tháng x 9 tháng</t>
  </si>
  <si>
    <t xml:space="preserve">Quản lý trực trưa ( Hiệu phó) 01 người x 2.300.000đ/ tháng x 9 tháng </t>
  </si>
  <si>
    <t>Kế toán bán trú: 01 người x 2.600.000đ/ tháng x 9 tháng</t>
  </si>
  <si>
    <t>Thủ quỹ bán trú: 01 người x 2.300.000đ/ tháng x 9 tháng</t>
  </si>
  <si>
    <t>Nhận thực phẩm, trực trưa y tế + kiểm định ba bước: 01 người x 2.300.000đ/ tháng x 9 tháng</t>
  </si>
  <si>
    <t>Chi tiền thu gom vận chuyển, xử lý rác thải sinh hoạt 4 tháng x 1.050.000đ/ tháng = 4.200.000đ</t>
  </si>
  <si>
    <t>Thưởng học sinh đạt thành tích trong năm học 2020 - 2021</t>
  </si>
  <si>
    <t>Mua giá phơi khăn mặt 4 cái x 880.000đ</t>
  </si>
  <si>
    <t>VII</t>
  </si>
  <si>
    <t>Tiền điện điều hòa tại các lớp học</t>
  </si>
  <si>
    <t>Tổng số học sinh: 1.340 em (Trong đó có 4 hs hộ nghèo; 01 học sinh khuyết tật nhà cung cấp nước miễn). 1.335hs x 10.000đ/ hs/ tháng x 9 tháng</t>
  </si>
  <si>
    <t xml:space="preserve">- Lần 1: Thu 03 tháng quyết toán trước ngày 20/9/2020: (Đối với học sinh khối 1): 285 hs x 140.805 = 340.129.425đ                                                                              </t>
  </si>
  <si>
    <t xml:space="preserve">- Lần 2: Thu 12 tháng vào tháng 12/2020: 563.220đ (Đối với học sinh toàn trường): 1340 hs x 563.220đ = 754.714.800đ                                                                                               </t>
  </si>
  <si>
    <t>Số dư năm học 2019-2020 chuyển sang</t>
  </si>
  <si>
    <t>1.335 em học sinh x 60.000đ</t>
  </si>
  <si>
    <t>B. Dự kiến thu: Tổng số học sinh 1.340 hs (Trong đó: 4 em thuộc diện hộ nghèo, học sinh khuyết tật chi hội khuyến học miễn)</t>
  </si>
  <si>
    <t>Tổng số hs toàn trường: 1.340hs. (Trong đó: 4 em thuộc diện hộ nghèo, học sinh khuyết tật Công ty VNPT miễn). Dự kiến thu: 100.000đ/ hs/năm</t>
  </si>
  <si>
    <t xml:space="preserve">Tiền ăn </t>
  </si>
  <si>
    <t>B. Dự kiến thu ( 21.000đ/hs/suất)</t>
  </si>
  <si>
    <t>Tiền ăn: 21.000đ/ suất trong đó: Tiền thực phẩm: 18.000đ, tiền công nấu, tiền ga, xà phòng, nước rửa bát....: 3.000đ</t>
  </si>
  <si>
    <t>Tiền phục vụ chăm sóc bán trú</t>
  </si>
  <si>
    <t>Tiền mua sắm dụng cụ, thiết bị phục vụ trực tiếp cho học sinh</t>
  </si>
  <si>
    <t>Tiền mua sắm dụng cụ, thiết bị phục vụ trực tiếp cho học sinh khối 2,3,4,5</t>
  </si>
  <si>
    <t>A</t>
  </si>
  <si>
    <t>Dự kiến chi</t>
  </si>
  <si>
    <t xml:space="preserve">Chổi: 25 cái x 2 kỳ  x 50.000đ = 3.400.000đ                                                  </t>
  </si>
  <si>
    <t xml:space="preserve">Xọt đựng rác: 25 cái x 20.000đ = 680.000đ                                         </t>
  </si>
  <si>
    <t xml:space="preserve">Xô nhựa 22 lít : 25 cái x 45.000đ = 1.530.000đ                                         </t>
  </si>
  <si>
    <t>Chậu rửa mặt: 25 cái x 25.000đ = 850.000đ</t>
  </si>
  <si>
    <t>Tiền mua sắm dụng cụ, thiết bị phục vụ trực tiếp cho học sinh khối 1</t>
  </si>
  <si>
    <t>Chi mua giấy vệ sinh (01 bịch x 9 lớp ) x 60.000đ x 9 tháng</t>
  </si>
  <si>
    <t>Chi mua khăn mặt: 26.000đ/ cái x 250 hs x 2 lần/ năm</t>
  </si>
  <si>
    <t xml:space="preserve">Chổi: 9 cái x 2 kỳ  x 50.000đ = 3.400.000đ                                                  </t>
  </si>
  <si>
    <t xml:space="preserve">Xọt đựng rác: 9 cái x 20.000đ = 680.000đ                                         </t>
  </si>
  <si>
    <t xml:space="preserve">Xô nhựa 22 lít : 9 cái x 45.000đ = 1.530.000đ                                         </t>
  </si>
  <si>
    <t>Chậu rửa mặt: 9 cái x 25.000đ = 850.000đ</t>
  </si>
  <si>
    <t>Chi sửa chữa bàn chia cơm, cây treo quần áo, giá phơi khăn ...., mua bổ sung chổi, hót rác, xọt đựng rác, xô nhựa, chậu rửa mặt, cây lau nhà cho những lớp bị hỏng</t>
  </si>
  <si>
    <t>Quần áo Nghi thức: 5 bộ x 150.000đ = 750.000đ</t>
  </si>
  <si>
    <t>Thắt lưng Nghi thức đỏ: 5 cái x 30.000 = 150.000đ</t>
  </si>
  <si>
    <t>Cờ chỉ huy cán inox: 01 cái x 150.000 = 150.000đ</t>
  </si>
  <si>
    <t>Cờ Đội thêu logo: 01 x 100.000 = 100.000đ</t>
  </si>
  <si>
    <t>VPP phục vụ Hoạt động Đội gồm có: Giấy in A4, ghim cài, băng dán gáy, giấy bìa màu, sổ lỗ CV đi đến, kẹp giấy, ghim bấm…</t>
  </si>
  <si>
    <t>Tài liệu tập huấn, sổ sách: Sổ chi đội, sổ nhi đồng, sổ Tổng phụ trách, sổ liên đội, Sổ Phụ trách Sao, Nghi Thức Đội, Điều lệ Đội, giấy chứng nhận rèn luyện đội viên, dự bị đội viên, …</t>
  </si>
  <si>
    <t xml:space="preserve">Hoa dâng Bác sinh hoạt truyền thống: </t>
  </si>
  <si>
    <t xml:space="preserve"> 01 lãng  x 200.000đ = 200.000đ</t>
  </si>
  <si>
    <t>Dây dứa: 1 cuộn x 30.000đ = 30.000đ</t>
  </si>
  <si>
    <t>Mua bao tải đựng gạo: 80 cái x 10.000đ = 800.000đ</t>
  </si>
  <si>
    <t>Hội thi Tuyên truyền Măng non:</t>
  </si>
  <si>
    <t>Giải thưởng: 1 giải nhất x 300.000đ = 300.000đ</t>
  </si>
  <si>
    <t>1 giải Nhì x 250.000đ = 250.000đ</t>
  </si>
  <si>
    <t>1 giải Ba x 200.000đ = 200.000đ</t>
  </si>
  <si>
    <t>1 giải phần thi kiến thức: 100.000đ</t>
  </si>
  <si>
    <t>1 giải tiểu phẩm xuất sắc: 100.000đ</t>
  </si>
  <si>
    <t>1 giải màn chào hỏi xuất sắc nhất: 100.000đ</t>
  </si>
  <si>
    <t>Tuyên truyền An toàn giao thông, Luật trẻ em, phòng chống xâm hại trẻ em:</t>
  </si>
  <si>
    <t>Phần thưởng trò chơi kiến thức: 10 giải x 40.000đ = 400.000đ</t>
  </si>
  <si>
    <t>Tổ chức chương trình Xuân ấm tình thương</t>
  </si>
  <si>
    <t>Vở phần thi trò chơi: 30 quyển vở x 10.000đ = 300.000đ</t>
  </si>
  <si>
    <t>Hương, lễ: 200.000đ</t>
  </si>
  <si>
    <t>Tặng quà con TB: 02 HS x 200.000đ = 400.000đ</t>
  </si>
  <si>
    <t>Tặng quà Gia đình Mẹ VN anh hùng: 02 gia đình x 300.000đ = 600.000đ</t>
  </si>
  <si>
    <t>Giấy khen Cháu ngoan Bác Hồ: 1338 tờ x 2.800đ = 3.746.400đ</t>
  </si>
  <si>
    <t>Hỗ trợ giáo viên chủ nhiệm thu tiền hàng tháng, quản lý lớp bán trú</t>
  </si>
  <si>
    <t>Mua tài liệu chuyên môn, sổ sách quản lý</t>
  </si>
  <si>
    <t xml:space="preserve">120.000đ/ buổi x 2 lớp x 16 buổi x 9 tháng ( Số hs ăn bán trú/ lớp từ 45 hs trở lên </t>
  </si>
  <si>
    <t>105.000đ/ buổi x 1 lớp x 16 buổi x 9 tháng ( Số hs ăn bán trú/ lớp từ 40 hs  đến 44 hs)</t>
  </si>
  <si>
    <t>95.000đ/ buổi x 17 lớp x 16 buổi x 9 tháng ( Số hs ăn bán trú/ lớp từ 20 hs trở lên đến 29 hs)</t>
  </si>
  <si>
    <t xml:space="preserve"> Phô tô phiếu báo cơm: 2000 tờ x 350đ        </t>
  </si>
  <si>
    <t xml:space="preserve">Mua bìa A4 ngoại: 02 gam x 50.000đ                                                                                                                                                                                                                                                                                                </t>
  </si>
  <si>
    <t xml:space="preserve">Mua giấy in mầu A4: 02 gam x 95.000đ </t>
  </si>
  <si>
    <t xml:space="preserve">Chi giặt chăn lông: 435 cái x 40.000đ                       </t>
  </si>
  <si>
    <t xml:space="preserve">Chi giặt chăn nỷ: 435 cái x 20.000đ                                    </t>
  </si>
  <si>
    <t>A. Dự kiến chi: Số học sinh bán trú: 1070 hs, số lớp ăn bán trú: 34 lớp, số buổi bán trú bình quân/ tháng: 16 buổi</t>
  </si>
  <si>
    <t xml:space="preserve">Chi giặt gối: 1.070 cái x 9.000đ x 2 lần/ năm </t>
  </si>
  <si>
    <t>85.000đ/ buổi đối với lớp có số hs dưới 20 em</t>
  </si>
  <si>
    <t>100.000đ/ buổi x 14 lớp x 16 buổi x 9 tháng ( Số hs ăn bán trú/ lớp từ 30 hs trở lên đến 39 hs)</t>
  </si>
  <si>
    <t xml:space="preserve">Mua gối 250 chiếc x 39.000đ </t>
  </si>
  <si>
    <t>Chi mua nước tẩy thái tẩy rửa nhà vệ sinh học sinh 4 chai/ 01 tháng x 9 tháng x 30.000đ</t>
  </si>
  <si>
    <t>Thu theo thực tế sử dụng tại các lớp học, thu vào 3 đợt: Đợt 1 thu vào cuối tháng 12; Đợt 2 thu vào cuối tháng 4; Đợt 3 thu vào cuối tháng 5 theo số công tơ tại các lớp học</t>
  </si>
  <si>
    <t>Trả lương giáo viên 9 tháng; Thỏa thuận thuê 5.470.000đ/ tháng x 9 tháng x 2 người</t>
  </si>
  <si>
    <t xml:space="preserve">Hót rác: 25 cái x 13.000đ  = 510.000đ                                                </t>
  </si>
  <si>
    <t xml:space="preserve">Hót rác: 9 cái x 13.000đ  = 510.000đ                                                </t>
  </si>
  <si>
    <t>Tiền thực phẩm: 18.000đ/ hs/ suất * 16 bữa/ tháng * 1070hs * 9 tháng</t>
  </si>
  <si>
    <t>Tiền công nấu, tiền ga, xà phòng, nước rửa bát ...: 3.000đ/ hs/ bữa * 16 suất/ tháng * 1070hs * 9 tháng</t>
  </si>
  <si>
    <t>21.000đ/ suất</t>
  </si>
  <si>
    <t>in decal dán Bảng Chủ đề năm học, chương trình công tác Đội, Thi đua Nghìn việc tốt treo sân trường: 01 bảng x 720.000đ =  720.000đ</t>
  </si>
  <si>
    <t>1.150.000</t>
  </si>
  <si>
    <t>2.661.000</t>
  </si>
  <si>
    <t>1.500.000</t>
  </si>
  <si>
    <t>Ma két sân khấu: 1 chiếc x 580.000đ = 580.000đ</t>
  </si>
  <si>
    <t>1.410.000</t>
  </si>
  <si>
    <t>dâng hương tại Khu di tích LSQG Đại đội 915 Gia Sàng thăm tặng quà mẹ VN anh hùng, con Thương binh tại liên đội:</t>
  </si>
  <si>
    <t>1.200.000</t>
  </si>
  <si>
    <t>Maket hội chợ Thắp sáng ước mơ: 1 chiếc = 580.000đ</t>
  </si>
  <si>
    <t>3.746.400</t>
  </si>
  <si>
    <t>In decal, dán Bảng chủ đề năm học, chương trình công tác Đội: 02 chiếc x 150.000đ = 300.000đ</t>
  </si>
  <si>
    <t xml:space="preserve"> Phô tô tài liệu phục vụ công tác Đội: Báo cáo tổng kết, phương hướng Đại hội Đội, phiếu bầu BCH liên đội, sổ sao đỏ, kế hoạch, Báo cáo Đội các tháng, năm, đăng kí thi đua, tài liệu các hội thi, phiếu sinh hoạt hè....</t>
  </si>
  <si>
    <t>478 em học sinh x 60.000đ/ hs/ năm</t>
  </si>
  <si>
    <t>Thu: 13.000đ/ tháng x 9 tháng x 820hs</t>
  </si>
  <si>
    <t>B. Dự kiến thu: 13.000đ/hs/tháng</t>
  </si>
  <si>
    <t>1.070 học sinh x 8.000đ x 9 tháng</t>
  </si>
  <si>
    <t>Hỗ trợ cho người làm vệ sinh nhà vệ sinh học sinh buổi trưa của HS bán trú 1.500.000đ/ tháng x 9 tháng</t>
  </si>
  <si>
    <t xml:space="preserve">Mua giấy A4 ngoại : 28 gam x 75.000đ                                                                                          </t>
  </si>
  <si>
    <t>1.070 hs. Dự kiến thu: 77.000đ/ hs/tháng</t>
  </si>
  <si>
    <t>Chi mua khăn mặt: 26.000đ/ cái x 820 hs x 2 lần/ năm</t>
  </si>
  <si>
    <t>Tổng số học sinh K3+4+5:  784 hs  Dự kiến thu: 14.000đ/ hs</t>
  </si>
  <si>
    <t>Tiền văn phòng phẩm: 02 người x 150.000đ/năm</t>
  </si>
  <si>
    <t>Tổng số học sinh K1:  284 hs  Dự kiến thu: 15.000đ/ hs</t>
  </si>
  <si>
    <t>Tiền văn phòng phẩm: 01 người x 250.000đ/ năm</t>
  </si>
  <si>
    <t>Chi nộp tiền điện bán trú: 60.000đ/ lớp x 9 lớp = 630.000đ/ tháng x 9 tháng</t>
  </si>
  <si>
    <t>Tổng số học sinh khối 1: 250 hs. Dự kiến thu: 350.000đ/ hs/năm</t>
  </si>
  <si>
    <t>Mua chăn nỷ 54 chiếc x 170.000đ</t>
  </si>
  <si>
    <t xml:space="preserve">Mua chăn băng lông 54 chiếc x 370.000đ </t>
  </si>
  <si>
    <t>Mua mắc áo xuân hòa: 9 cái x 550.000đ</t>
  </si>
  <si>
    <t>Chi nộp tiền điện bán trú: 60.000đ/ lớp x 25 lớp x 9 tháng</t>
  </si>
  <si>
    <t>Mua bàn chia cơm 4 cái x 1.950.000đ/ cái</t>
  </si>
  <si>
    <t>Chi mua giấy vệ sinh (01 bịch x 25 lớp) x 60.000đ x 9 tháng</t>
  </si>
  <si>
    <t>Chi nộp tiền nước phục vụ bán trú: 39.000đ/ lớp x 25 lớp x 9 tháng</t>
  </si>
  <si>
    <t xml:space="preserve">Chi mua xà phòng giặt: 50.000đ/ gói x 2gói/ kỳ  x 2 kỳ </t>
  </si>
  <si>
    <t>Chi mua nước tẩy thái tẩy rửa nhà vệ sinh học sinh 10 chai/ 01 tháng x 9 tháng x 30.000đ</t>
  </si>
  <si>
    <t xml:space="preserve">Chi mua cây lau nhà: 95.000đ/ cái x 25 cái x 2 lần/ năm </t>
  </si>
  <si>
    <t xml:space="preserve">Chi mua cây lau nhà: 95.000đ/ cái x 9 cái x 2 lần/ năm </t>
  </si>
  <si>
    <t>Trả lương giáo viên 9 tháng; Thỏa thuận thuê 4.230.000đ/ tháng x 9 tháng</t>
  </si>
  <si>
    <t>Chi nộp tiền nước phục vụ bán trú: 39.000đ/ lớp x 9 lớp x 9 tháng</t>
  </si>
  <si>
    <t>(Kèm theo kế hoạch thực hiện các khoản thu ngày  16 tháng 10 năm 2020 của trường TH Nha Trang)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</si>
</sst>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0" x14ac:knownFonts="1">
    <font>
      <sz val="12"/>
      <color theme="1"/>
      <name val="Times New Roman"/>
      <family val="2"/>
    </font>
    <font>
      <sz val="14"/>
      <color theme="1"/>
      <name val="Times New Roman"/>
      <family val="2"/>
    </font>
    <font>
      <b/>
      <sz val="14"/>
      <color theme="1"/>
      <name val="Times New Roman"/>
      <family val="1"/>
    </font>
    <font>
      <b/>
      <i/>
      <sz val="14"/>
      <color theme="1"/>
      <name val="Times New Roman"/>
      <family val="1"/>
    </font>
    <font>
      <sz val="12"/>
      <color theme="1"/>
      <name val="Times New Roman"/>
      <family val="2"/>
    </font>
    <font>
      <sz val="14"/>
      <color theme="1"/>
      <name val="Times New Roman"/>
      <family val="1"/>
    </font>
    <font>
      <i/>
      <sz val="13"/>
      <color theme="1"/>
      <name val="Times New Roman"/>
      <family val="1"/>
    </font>
    <font>
      <b/>
      <sz val="14"/>
      <color rgb="FFFF0000"/>
      <name val="Times New Roman"/>
      <family val="1"/>
    </font>
    <font>
      <i/>
      <sz val="14"/>
      <color theme="1"/>
      <name val="Times New Roman"/>
      <family val="1"/>
    </font>
    <font>
      <sz val="14"/>
      <name val="Times New Roman"/>
      <family val="2"/>
    </font>
    <font>
      <b/>
      <i/>
      <sz val="14"/>
      <color rgb="FFFF0000"/>
      <name val="Times New Roman"/>
      <family val="1"/>
    </font>
    <font>
      <sz val="14"/>
      <color theme="1"/>
      <name val="Times New Roman"/>
      <family val="1"/>
      <charset val="163"/>
    </font>
    <font>
      <sz val="14"/>
      <color rgb="FF000000"/>
      <name val="Times New Roman"/>
      <family val="1"/>
    </font>
    <font>
      <sz val="13.5"/>
      <color theme="1"/>
      <name val="Times New Roman"/>
      <family val="2"/>
    </font>
    <font>
      <sz val="10"/>
      <name val="Arial"/>
      <family val="2"/>
    </font>
    <font>
      <sz val="14"/>
      <name val="Times New Roman"/>
      <family val="1"/>
    </font>
    <font>
      <b/>
      <i/>
      <sz val="14"/>
      <color rgb="FF000000"/>
      <name val="Times New Roman"/>
      <family val="1"/>
    </font>
    <font>
      <sz val="14"/>
      <color rgb="FFFF0000"/>
      <name val="Times New Roman"/>
      <family val="1"/>
    </font>
    <font>
      <sz val="14"/>
      <color rgb="FFFF0000"/>
      <name val="Times New Roman"/>
      <family val="2"/>
    </font>
    <font>
      <i/>
      <sz val="12"/>
      <color theme="1"/>
      <name val="Times New Roman"/>
      <family val="1"/>
    </font>
  </fonts>
  <fills count="3">
    <fill>
      <patternFill patternType="none"/>
    </fill>
    <fill>
      <patternFill patternType="gray125"/>
    </fill>
    <fill>
      <patternFill patternType="solid">
        <fgColor theme="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style="thin">
        <color auto="1"/>
      </right>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3">
    <xf numFmtId="0" fontId="0" fillId="0" borderId="0"/>
    <xf numFmtId="43" fontId="4" fillId="0" borderId="0" applyFont="0" applyFill="0" applyBorder="0" applyAlignment="0" applyProtection="0"/>
    <xf numFmtId="0" fontId="14" fillId="0" borderId="0"/>
  </cellStyleXfs>
  <cellXfs count="152">
    <xf numFmtId="0" fontId="0" fillId="0" borderId="0" xfId="0"/>
    <xf numFmtId="0" fontId="1" fillId="0" borderId="0" xfId="0" applyFont="1"/>
    <xf numFmtId="0" fontId="2" fillId="0" borderId="0" xfId="0" applyFont="1"/>
    <xf numFmtId="0" fontId="3" fillId="0" borderId="0" xfId="0" applyFont="1"/>
    <xf numFmtId="164" fontId="1" fillId="0" borderId="0" xfId="1" applyNumberFormat="1" applyFont="1"/>
    <xf numFmtId="164" fontId="2" fillId="0" borderId="0" xfId="1" applyNumberFormat="1" applyFont="1"/>
    <xf numFmtId="164" fontId="0" fillId="0" borderId="0" xfId="1" applyNumberFormat="1" applyFont="1"/>
    <xf numFmtId="0" fontId="2" fillId="0" borderId="1" xfId="0" applyFont="1" applyBorder="1" applyAlignment="1">
      <alignment horizontal="center"/>
    </xf>
    <xf numFmtId="164" fontId="2" fillId="0" borderId="1" xfId="1" applyNumberFormat="1" applyFont="1" applyBorder="1" applyAlignment="1">
      <alignment horizontal="center"/>
    </xf>
    <xf numFmtId="0" fontId="5" fillId="0" borderId="0" xfId="0" applyFont="1"/>
    <xf numFmtId="164" fontId="2" fillId="0" borderId="0" xfId="0" applyNumberFormat="1" applyFont="1"/>
    <xf numFmtId="0" fontId="7" fillId="0" borderId="0" xfId="0" applyFont="1"/>
    <xf numFmtId="164" fontId="1" fillId="0" borderId="0" xfId="0" applyNumberFormat="1" applyFont="1"/>
    <xf numFmtId="0" fontId="1" fillId="0" borderId="4" xfId="0" quotePrefix="1" applyFont="1" applyBorder="1" applyAlignment="1">
      <alignment vertical="center" wrapText="1"/>
    </xf>
    <xf numFmtId="0" fontId="8" fillId="0" borderId="0" xfId="0" applyFont="1"/>
    <xf numFmtId="0" fontId="9" fillId="0" borderId="0" xfId="0" applyFont="1"/>
    <xf numFmtId="0" fontId="10" fillId="0" borderId="0" xfId="0" applyFont="1"/>
    <xf numFmtId="164" fontId="2" fillId="0" borderId="0" xfId="1" applyNumberFormat="1" applyFont="1" applyBorder="1" applyAlignment="1">
      <alignment horizontal="center"/>
    </xf>
    <xf numFmtId="164" fontId="7" fillId="0" borderId="0" xfId="1" applyNumberFormat="1" applyFont="1" applyBorder="1"/>
    <xf numFmtId="164" fontId="2" fillId="0" borderId="0" xfId="1" applyNumberFormat="1" applyFont="1" applyBorder="1"/>
    <xf numFmtId="164" fontId="5" fillId="0" borderId="0" xfId="1" applyNumberFormat="1" applyFont="1" applyBorder="1"/>
    <xf numFmtId="164" fontId="3" fillId="0" borderId="0" xfId="1" applyNumberFormat="1" applyFont="1" applyBorder="1"/>
    <xf numFmtId="164" fontId="1" fillId="0" borderId="0" xfId="1" applyNumberFormat="1" applyFont="1" applyBorder="1"/>
    <xf numFmtId="164" fontId="1" fillId="0" borderId="0" xfId="1" applyNumberFormat="1" applyFont="1" applyBorder="1" applyAlignment="1">
      <alignment vertical="center"/>
    </xf>
    <xf numFmtId="164" fontId="8" fillId="0" borderId="0" xfId="1" applyNumberFormat="1" applyFont="1" applyBorder="1"/>
    <xf numFmtId="164" fontId="1" fillId="0" borderId="0" xfId="1" applyNumberFormat="1" applyFont="1" applyBorder="1" applyAlignment="1">
      <alignment horizontal="center" vertical="center"/>
    </xf>
    <xf numFmtId="164" fontId="9" fillId="0" borderId="0" xfId="1" applyNumberFormat="1" applyFont="1" applyBorder="1"/>
    <xf numFmtId="164" fontId="2" fillId="0" borderId="0" xfId="1" applyNumberFormat="1" applyFont="1" applyBorder="1" applyAlignment="1">
      <alignment horizontal="center" vertical="center"/>
    </xf>
    <xf numFmtId="164" fontId="10" fillId="0" borderId="0" xfId="1" applyNumberFormat="1" applyFont="1" applyBorder="1"/>
    <xf numFmtId="0" fontId="7" fillId="0" borderId="3" xfId="0" applyFont="1" applyBorder="1"/>
    <xf numFmtId="164" fontId="7" fillId="0" borderId="3" xfId="1" applyNumberFormat="1" applyFont="1" applyBorder="1"/>
    <xf numFmtId="0" fontId="7" fillId="0" borderId="4" xfId="0" applyFont="1" applyBorder="1"/>
    <xf numFmtId="164" fontId="7" fillId="0" borderId="4" xfId="1" applyNumberFormat="1" applyFont="1" applyBorder="1"/>
    <xf numFmtId="0" fontId="2" fillId="0" borderId="4" xfId="0" applyFont="1" applyBorder="1"/>
    <xf numFmtId="164" fontId="2" fillId="0" borderId="4" xfId="1" applyNumberFormat="1" applyFont="1" applyBorder="1"/>
    <xf numFmtId="0" fontId="1" fillId="0" borderId="4" xfId="0" applyFont="1" applyBorder="1"/>
    <xf numFmtId="164" fontId="5" fillId="0" borderId="4" xfId="1" applyNumberFormat="1" applyFont="1" applyBorder="1"/>
    <xf numFmtId="0" fontId="1" fillId="0" borderId="4" xfId="0" applyFont="1" applyBorder="1" applyAlignment="1">
      <alignment vertical="center" wrapText="1"/>
    </xf>
    <xf numFmtId="0" fontId="1" fillId="0" borderId="4" xfId="0" applyFont="1" applyBorder="1" applyAlignment="1">
      <alignment vertical="center"/>
    </xf>
    <xf numFmtId="0" fontId="2" fillId="0" borderId="4" xfId="0" applyFont="1" applyBorder="1" applyAlignment="1">
      <alignment horizontal="center"/>
    </xf>
    <xf numFmtId="0" fontId="3" fillId="0" borderId="4" xfId="0" applyFont="1" applyBorder="1"/>
    <xf numFmtId="164" fontId="3" fillId="0" borderId="4" xfId="1" applyNumberFormat="1" applyFont="1" applyBorder="1"/>
    <xf numFmtId="164" fontId="1" fillId="0" borderId="4" xfId="1" applyNumberFormat="1" applyFont="1" applyBorder="1"/>
    <xf numFmtId="164" fontId="1" fillId="0" borderId="4" xfId="1" applyNumberFormat="1" applyFont="1" applyBorder="1" applyAlignment="1">
      <alignment vertical="center"/>
    </xf>
    <xf numFmtId="0" fontId="3" fillId="0" borderId="4" xfId="0" applyFont="1" applyBorder="1" applyAlignment="1">
      <alignment horizontal="center"/>
    </xf>
    <xf numFmtId="0" fontId="5" fillId="0" borderId="4" xfId="0" applyFont="1" applyBorder="1"/>
    <xf numFmtId="0" fontId="3" fillId="0" borderId="4" xfId="0" applyFont="1" applyBorder="1" applyAlignment="1">
      <alignment vertical="center" wrapText="1"/>
    </xf>
    <xf numFmtId="0" fontId="8" fillId="0" borderId="4" xfId="0" applyFont="1" applyBorder="1"/>
    <xf numFmtId="0" fontId="8" fillId="0" borderId="4" xfId="0" applyFont="1" applyBorder="1" applyAlignment="1">
      <alignment vertical="center" wrapText="1"/>
    </xf>
    <xf numFmtId="164" fontId="8" fillId="0" borderId="4" xfId="1" applyNumberFormat="1" applyFont="1" applyBorder="1"/>
    <xf numFmtId="164" fontId="2" fillId="0" borderId="4" xfId="1" applyNumberFormat="1" applyFont="1" applyBorder="1" applyAlignment="1">
      <alignment horizontal="center" vertical="center"/>
    </xf>
    <xf numFmtId="0" fontId="10" fillId="0" borderId="4" xfId="0" applyFont="1" applyBorder="1"/>
    <xf numFmtId="164" fontId="10" fillId="0" borderId="4" xfId="1" applyNumberFormat="1" applyFont="1" applyBorder="1"/>
    <xf numFmtId="0" fontId="9" fillId="0" borderId="4" xfId="0" applyFont="1" applyBorder="1" applyAlignment="1">
      <alignment vertical="center" wrapText="1"/>
    </xf>
    <xf numFmtId="164" fontId="9" fillId="0" borderId="4" xfId="1" applyNumberFormat="1" applyFont="1" applyBorder="1" applyAlignment="1">
      <alignment vertical="center"/>
    </xf>
    <xf numFmtId="164" fontId="9" fillId="0" borderId="4" xfId="1" applyNumberFormat="1" applyFont="1" applyBorder="1"/>
    <xf numFmtId="0" fontId="3" fillId="0" borderId="4" xfId="0" applyFont="1" applyBorder="1" applyAlignment="1">
      <alignment horizontal="left"/>
    </xf>
    <xf numFmtId="0" fontId="7" fillId="0" borderId="4" xfId="0" applyFont="1" applyBorder="1" applyAlignment="1">
      <alignment vertical="center" wrapText="1"/>
    </xf>
    <xf numFmtId="0" fontId="3" fillId="0" borderId="5" xfId="0" applyFont="1" applyBorder="1"/>
    <xf numFmtId="0" fontId="2" fillId="0" borderId="5" xfId="0" applyFont="1" applyBorder="1" applyAlignment="1">
      <alignment vertical="center" wrapText="1"/>
    </xf>
    <xf numFmtId="164" fontId="3" fillId="0" borderId="5" xfId="1" applyNumberFormat="1" applyFont="1" applyBorder="1"/>
    <xf numFmtId="0" fontId="2" fillId="0" borderId="4" xfId="0" applyFont="1" applyBorder="1" applyAlignment="1">
      <alignment horizontal="left"/>
    </xf>
    <xf numFmtId="0" fontId="13" fillId="0" borderId="4" xfId="0" applyFont="1" applyBorder="1"/>
    <xf numFmtId="164" fontId="5" fillId="0" borderId="4" xfId="1" applyNumberFormat="1" applyFont="1" applyBorder="1" applyAlignment="1">
      <alignment vertical="center"/>
    </xf>
    <xf numFmtId="0" fontId="1" fillId="0" borderId="0" xfId="0" applyFont="1" applyAlignment="1">
      <alignment horizontal="left" indent="1"/>
    </xf>
    <xf numFmtId="0" fontId="5" fillId="0" borderId="4" xfId="0" applyFont="1" applyBorder="1" applyAlignment="1">
      <alignment vertical="center" wrapText="1"/>
    </xf>
    <xf numFmtId="0" fontId="5" fillId="0" borderId="4" xfId="0" applyFont="1" applyBorder="1" applyAlignment="1">
      <alignment vertical="center"/>
    </xf>
    <xf numFmtId="0" fontId="8" fillId="0" borderId="4" xfId="0" applyFont="1" applyBorder="1" applyAlignment="1">
      <alignment vertical="center"/>
    </xf>
    <xf numFmtId="0" fontId="7" fillId="0" borderId="4" xfId="0" applyFont="1" applyBorder="1" applyAlignment="1">
      <alignment horizontal="center"/>
    </xf>
    <xf numFmtId="164" fontId="7" fillId="0" borderId="0" xfId="0" applyNumberFormat="1" applyFont="1"/>
    <xf numFmtId="0" fontId="2" fillId="0" borderId="4" xfId="0" applyFont="1" applyBorder="1" applyAlignment="1">
      <alignment horizontal="left" vertical="center" wrapText="1"/>
    </xf>
    <xf numFmtId="164" fontId="17" fillId="0" borderId="4" xfId="1" applyNumberFormat="1" applyFont="1" applyBorder="1"/>
    <xf numFmtId="0" fontId="2" fillId="0" borderId="0" xfId="0" applyFont="1" applyAlignment="1">
      <alignment horizontal="center"/>
    </xf>
    <xf numFmtId="0" fontId="6" fillId="0" borderId="0" xfId="0" applyFont="1" applyAlignment="1">
      <alignment horizontal="center"/>
    </xf>
    <xf numFmtId="0" fontId="1" fillId="0" borderId="4" xfId="0" applyFont="1" applyBorder="1" applyAlignment="1">
      <alignment horizontal="center" vertical="center"/>
    </xf>
    <xf numFmtId="164" fontId="1" fillId="0" borderId="4" xfId="1" applyNumberFormat="1" applyFont="1" applyBorder="1" applyAlignment="1">
      <alignment horizontal="center" vertical="center"/>
    </xf>
    <xf numFmtId="164" fontId="1" fillId="0" borderId="4" xfId="1" applyNumberFormat="1" applyFont="1" applyBorder="1" applyAlignment="1">
      <alignment horizontal="center" vertical="center"/>
    </xf>
    <xf numFmtId="0" fontId="1" fillId="0" borderId="7" xfId="0" applyFont="1" applyBorder="1" applyAlignment="1">
      <alignment vertical="center"/>
    </xf>
    <xf numFmtId="164" fontId="1" fillId="0" borderId="7" xfId="1" applyNumberFormat="1" applyFont="1" applyBorder="1" applyAlignment="1">
      <alignment vertical="center"/>
    </xf>
    <xf numFmtId="0" fontId="8" fillId="0" borderId="7" xfId="0" applyFont="1" applyBorder="1" applyAlignment="1">
      <alignment vertical="center"/>
    </xf>
    <xf numFmtId="0" fontId="10" fillId="0" borderId="4" xfId="0" applyFont="1" applyBorder="1" applyAlignment="1">
      <alignment vertical="center" wrapText="1"/>
    </xf>
    <xf numFmtId="164" fontId="8" fillId="0" borderId="7" xfId="1" applyNumberFormat="1" applyFont="1" applyBorder="1" applyAlignment="1">
      <alignment vertical="center"/>
    </xf>
    <xf numFmtId="164" fontId="8" fillId="0" borderId="0" xfId="1" applyNumberFormat="1" applyFont="1" applyBorder="1" applyAlignment="1">
      <alignment horizontal="center" vertical="center"/>
    </xf>
    <xf numFmtId="164" fontId="18" fillId="0" borderId="0" xfId="1" applyNumberFormat="1" applyFont="1" applyBorder="1"/>
    <xf numFmtId="0" fontId="18" fillId="0" borderId="0" xfId="0" applyFont="1"/>
    <xf numFmtId="0" fontId="18" fillId="0" borderId="4" xfId="0" applyFont="1" applyBorder="1" applyAlignment="1">
      <alignment vertical="center"/>
    </xf>
    <xf numFmtId="0" fontId="18" fillId="0" borderId="4" xfId="0" applyFont="1" applyBorder="1" applyAlignment="1">
      <alignment vertical="center" wrapText="1"/>
    </xf>
    <xf numFmtId="164" fontId="18" fillId="0" borderId="4" xfId="1" applyNumberFormat="1" applyFont="1" applyBorder="1" applyAlignment="1">
      <alignment vertical="center"/>
    </xf>
    <xf numFmtId="164" fontId="2" fillId="0" borderId="7" xfId="1" applyNumberFormat="1" applyFont="1" applyBorder="1" applyAlignment="1">
      <alignment vertical="center"/>
    </xf>
    <xf numFmtId="164" fontId="8" fillId="0" borderId="4" xfId="1" applyNumberFormat="1" applyFont="1" applyBorder="1" applyAlignment="1">
      <alignment vertical="center"/>
    </xf>
    <xf numFmtId="0" fontId="15" fillId="0" borderId="12" xfId="0" applyFont="1" applyBorder="1" applyAlignment="1">
      <alignment horizontal="center" vertical="center" wrapText="1"/>
    </xf>
    <xf numFmtId="164" fontId="5" fillId="0" borderId="0" xfId="1" applyNumberFormat="1" applyFont="1" applyBorder="1" applyAlignment="1">
      <alignment vertical="center"/>
    </xf>
    <xf numFmtId="0" fontId="1" fillId="0" borderId="0" xfId="0" applyFont="1" applyAlignment="1">
      <alignment vertical="center"/>
    </xf>
    <xf numFmtId="164" fontId="7" fillId="2" borderId="0" xfId="1" applyNumberFormat="1" applyFont="1" applyFill="1" applyBorder="1"/>
    <xf numFmtId="0" fontId="7" fillId="2" borderId="0" xfId="0" applyFont="1" applyFill="1"/>
    <xf numFmtId="164" fontId="3" fillId="2" borderId="0" xfId="1" applyNumberFormat="1" applyFont="1" applyFill="1" applyBorder="1"/>
    <xf numFmtId="0" fontId="3" fillId="2" borderId="0" xfId="0" applyFont="1" applyFill="1"/>
    <xf numFmtId="0" fontId="15" fillId="0" borderId="0" xfId="0" applyFont="1" applyBorder="1" applyAlignment="1">
      <alignment vertical="center" wrapText="1"/>
    </xf>
    <xf numFmtId="0" fontId="15" fillId="0" borderId="8" xfId="0" applyFont="1" applyBorder="1" applyAlignment="1">
      <alignment vertical="center"/>
    </xf>
    <xf numFmtId="0" fontId="15" fillId="0" borderId="0" xfId="0" applyFont="1" applyAlignment="1">
      <alignment vertical="center"/>
    </xf>
    <xf numFmtId="0" fontId="15" fillId="0" borderId="1" xfId="0" applyFont="1" applyBorder="1" applyAlignment="1">
      <alignment vertical="center" wrapText="1"/>
    </xf>
    <xf numFmtId="0" fontId="15" fillId="0" borderId="8" xfId="0" applyFont="1" applyBorder="1" applyAlignment="1">
      <alignment vertical="center" wrapText="1"/>
    </xf>
    <xf numFmtId="0" fontId="15" fillId="0" borderId="2" xfId="0" applyFont="1" applyBorder="1" applyAlignment="1">
      <alignment vertical="center" wrapText="1"/>
    </xf>
    <xf numFmtId="0" fontId="15" fillId="0" borderId="9" xfId="0" applyFont="1" applyBorder="1" applyAlignment="1">
      <alignment vertical="center" wrapText="1"/>
    </xf>
    <xf numFmtId="0" fontId="15" fillId="0" borderId="2" xfId="0" applyFont="1" applyBorder="1" applyAlignment="1">
      <alignment vertical="center"/>
    </xf>
    <xf numFmtId="0" fontId="15" fillId="0" borderId="2" xfId="0" applyFont="1" applyFill="1" applyBorder="1" applyAlignment="1">
      <alignment horizontal="left" vertical="center" wrapText="1"/>
    </xf>
    <xf numFmtId="0" fontId="7" fillId="2" borderId="4" xfId="0" applyFont="1" applyFill="1" applyBorder="1"/>
    <xf numFmtId="164" fontId="7" fillId="2" borderId="4" xfId="1" applyNumberFormat="1" applyFont="1" applyFill="1" applyBorder="1"/>
    <xf numFmtId="0" fontId="3" fillId="2" borderId="6" xfId="0" applyFont="1" applyFill="1" applyBorder="1"/>
    <xf numFmtId="164" fontId="3" fillId="2" borderId="6" xfId="1" applyNumberFormat="1" applyFont="1" applyFill="1" applyBorder="1"/>
    <xf numFmtId="164" fontId="12" fillId="2" borderId="0" xfId="1" applyNumberFormat="1" applyFont="1" applyFill="1" applyBorder="1" applyAlignment="1">
      <alignment horizontal="right" vertical="center" wrapText="1"/>
    </xf>
    <xf numFmtId="0" fontId="11" fillId="2" borderId="7" xfId="0" applyFont="1" applyFill="1" applyBorder="1" applyAlignment="1">
      <alignment horizontal="center" vertical="center" wrapText="1"/>
    </xf>
    <xf numFmtId="0" fontId="3" fillId="2" borderId="7" xfId="0" applyFont="1" applyFill="1" applyBorder="1" applyAlignment="1">
      <alignment horizontal="center"/>
    </xf>
    <xf numFmtId="164" fontId="16" fillId="2" borderId="7" xfId="1" applyNumberFormat="1" applyFont="1" applyFill="1" applyBorder="1" applyAlignment="1">
      <alignment horizontal="right" vertical="center" wrapText="1"/>
    </xf>
    <xf numFmtId="0" fontId="3" fillId="2" borderId="4" xfId="0" applyFont="1" applyFill="1" applyBorder="1"/>
    <xf numFmtId="0" fontId="3" fillId="2" borderId="4" xfId="0" applyFont="1" applyFill="1" applyBorder="1" applyAlignment="1">
      <alignment horizontal="left" vertical="center" wrapText="1"/>
    </xf>
    <xf numFmtId="164" fontId="3" fillId="2" borderId="4" xfId="1" applyNumberFormat="1" applyFont="1" applyFill="1" applyBorder="1"/>
    <xf numFmtId="0" fontId="1" fillId="2" borderId="4" xfId="0" applyFont="1" applyFill="1" applyBorder="1"/>
    <xf numFmtId="164" fontId="1" fillId="2" borderId="4" xfId="1" applyNumberFormat="1" applyFont="1" applyFill="1" applyBorder="1"/>
    <xf numFmtId="164" fontId="1" fillId="2" borderId="0" xfId="1" applyNumberFormat="1" applyFont="1" applyFill="1" applyBorder="1"/>
    <xf numFmtId="0" fontId="1" fillId="2" borderId="0" xfId="0" applyFont="1" applyFill="1"/>
    <xf numFmtId="0" fontId="3" fillId="2" borderId="4" xfId="0" applyFont="1" applyFill="1" applyBorder="1" applyAlignment="1">
      <alignment horizontal="center"/>
    </xf>
    <xf numFmtId="0" fontId="15" fillId="0" borderId="1"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164" fontId="3" fillId="2" borderId="0" xfId="1" applyNumberFormat="1" applyFont="1" applyFill="1" applyBorder="1" applyAlignment="1">
      <alignment vertical="center"/>
    </xf>
    <xf numFmtId="0" fontId="3" fillId="2" borderId="0" xfId="0" applyFont="1" applyFill="1" applyAlignment="1">
      <alignment vertical="center"/>
    </xf>
    <xf numFmtId="164" fontId="15" fillId="0" borderId="1" xfId="1" applyNumberFormat="1" applyFont="1" applyBorder="1" applyAlignment="1">
      <alignment vertical="center" wrapText="1"/>
    </xf>
    <xf numFmtId="164" fontId="15" fillId="0" borderId="9" xfId="1" applyNumberFormat="1" applyFont="1" applyBorder="1" applyAlignment="1">
      <alignment vertical="center" wrapText="1"/>
    </xf>
    <xf numFmtId="164" fontId="15" fillId="0" borderId="1" xfId="0" applyNumberFormat="1" applyFont="1" applyBorder="1" applyAlignment="1">
      <alignment horizontal="right" vertical="center" wrapText="1"/>
    </xf>
    <xf numFmtId="164" fontId="15" fillId="0" borderId="13" xfId="0" applyNumberFormat="1" applyFont="1" applyBorder="1" applyAlignment="1">
      <alignment horizontal="right" vertical="center" wrapText="1"/>
    </xf>
    <xf numFmtId="164" fontId="15" fillId="0" borderId="11" xfId="0" applyNumberFormat="1" applyFont="1" applyBorder="1" applyAlignment="1">
      <alignment horizontal="right" vertical="center" wrapText="1"/>
    </xf>
    <xf numFmtId="0" fontId="2" fillId="0" borderId="0" xfId="0" applyFont="1" applyAlignment="1">
      <alignment horizontal="center"/>
    </xf>
    <xf numFmtId="0" fontId="8" fillId="0" borderId="0" xfId="0" applyFont="1" applyAlignment="1">
      <alignment horizontal="center"/>
    </xf>
    <xf numFmtId="0" fontId="19" fillId="0" borderId="0" xfId="0" applyFont="1" applyAlignment="1">
      <alignment horizontal="center"/>
    </xf>
    <xf numFmtId="0" fontId="15" fillId="0" borderId="8"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164" fontId="15" fillId="0" borderId="8" xfId="1" applyNumberFormat="1" applyFont="1" applyBorder="1" applyAlignment="1">
      <alignment horizontal="right" vertical="center" wrapText="1"/>
    </xf>
    <xf numFmtId="164" fontId="15" fillId="0" borderId="2" xfId="1" applyNumberFormat="1" applyFont="1" applyBorder="1" applyAlignment="1">
      <alignment horizontal="right" vertical="center" wrapText="1"/>
    </xf>
    <xf numFmtId="164" fontId="15" fillId="0" borderId="9" xfId="1" applyNumberFormat="1" applyFont="1" applyBorder="1" applyAlignment="1">
      <alignment horizontal="right" vertical="center" wrapText="1"/>
    </xf>
    <xf numFmtId="0" fontId="15" fillId="0" borderId="1" xfId="0" applyFont="1" applyBorder="1" applyAlignment="1">
      <alignment horizontal="center" vertical="center" wrapText="1"/>
    </xf>
    <xf numFmtId="164" fontId="15" fillId="0" borderId="1" xfId="0" applyNumberFormat="1" applyFont="1" applyBorder="1" applyAlignment="1">
      <alignment horizontal="right" vertical="center" wrapText="1"/>
    </xf>
    <xf numFmtId="0" fontId="15" fillId="0" borderId="10" xfId="0" applyFont="1" applyBorder="1" applyAlignment="1">
      <alignment horizontal="center" vertical="center" wrapText="1"/>
    </xf>
    <xf numFmtId="164" fontId="15" fillId="0" borderId="11" xfId="0" applyNumberFormat="1" applyFont="1" applyBorder="1" applyAlignment="1">
      <alignment horizontal="right" vertical="center" wrapText="1"/>
    </xf>
    <xf numFmtId="0" fontId="15" fillId="0" borderId="14" xfId="0" applyFont="1" applyBorder="1" applyAlignment="1">
      <alignment horizontal="center" vertical="center" wrapText="1"/>
    </xf>
    <xf numFmtId="0" fontId="15" fillId="0" borderId="16" xfId="0" applyFont="1" applyBorder="1" applyAlignment="1">
      <alignment horizontal="center" vertical="center" wrapText="1"/>
    </xf>
    <xf numFmtId="164" fontId="15" fillId="0" borderId="15" xfId="0" applyNumberFormat="1" applyFont="1" applyBorder="1" applyAlignment="1">
      <alignment horizontal="right" vertical="center" wrapText="1"/>
    </xf>
    <xf numFmtId="164" fontId="15" fillId="0" borderId="17" xfId="0" applyNumberFormat="1" applyFont="1" applyBorder="1" applyAlignment="1">
      <alignment horizontal="right" vertical="center" wrapText="1"/>
    </xf>
    <xf numFmtId="164" fontId="15" fillId="0" borderId="8" xfId="0" applyNumberFormat="1" applyFont="1" applyBorder="1" applyAlignment="1">
      <alignment horizontal="right" vertical="center" wrapText="1"/>
    </xf>
    <xf numFmtId="164" fontId="15" fillId="0" borderId="2" xfId="0" applyNumberFormat="1" applyFont="1" applyBorder="1" applyAlignment="1">
      <alignment horizontal="right" vertical="center" wrapText="1"/>
    </xf>
    <xf numFmtId="164" fontId="15" fillId="0" borderId="9" xfId="0" applyNumberFormat="1" applyFont="1" applyBorder="1" applyAlignment="1">
      <alignment horizontal="right" vertical="center" wrapText="1"/>
    </xf>
  </cellXfs>
  <cellStyles count="3">
    <cellStyle name="Comma" xfId="1" builtinId="3"/>
    <cellStyle name="Normal" xfId="0" builtinId="0"/>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7"/>
  <sheetViews>
    <sheetView tabSelected="1" workbookViewId="0">
      <selection activeCell="F8" sqref="F8"/>
    </sheetView>
  </sheetViews>
  <sheetFormatPr defaultRowHeight="15.6" x14ac:dyDescent="0.3"/>
  <cols>
    <col min="1" max="1" width="5.09765625" customWidth="1"/>
    <col min="2" max="2" width="63" customWidth="1"/>
    <col min="3" max="3" width="18.09765625" style="6" customWidth="1"/>
    <col min="4" max="4" width="16.19921875" style="6" customWidth="1"/>
    <col min="5" max="5" width="17.59765625" customWidth="1"/>
  </cols>
  <sheetData>
    <row r="1" spans="1:5" s="1" customFormat="1" ht="18" x14ac:dyDescent="0.35">
      <c r="A1" s="1" t="s">
        <v>28</v>
      </c>
      <c r="C1" s="4"/>
      <c r="D1" s="4"/>
    </row>
    <row r="2" spans="1:5" s="2" customFormat="1" ht="17.399999999999999" x14ac:dyDescent="0.3">
      <c r="A2" s="2" t="s">
        <v>29</v>
      </c>
      <c r="C2" s="5"/>
      <c r="D2" s="5"/>
    </row>
    <row r="3" spans="1:5" s="1" customFormat="1" ht="2.25" customHeight="1" x14ac:dyDescent="0.35">
      <c r="C3" s="4"/>
      <c r="D3" s="4"/>
    </row>
    <row r="4" spans="1:5" s="1" customFormat="1" ht="18" x14ac:dyDescent="0.35">
      <c r="A4" s="132" t="s">
        <v>40</v>
      </c>
      <c r="B4" s="132"/>
      <c r="C4" s="132"/>
      <c r="D4" s="72"/>
    </row>
    <row r="5" spans="1:5" s="1" customFormat="1" ht="18" x14ac:dyDescent="0.35">
      <c r="A5" s="132" t="s">
        <v>66</v>
      </c>
      <c r="B5" s="132"/>
      <c r="C5" s="132"/>
      <c r="D5" s="72"/>
    </row>
    <row r="6" spans="1:5" s="1" customFormat="1" ht="18" x14ac:dyDescent="0.35">
      <c r="A6" s="134" t="s">
        <v>193</v>
      </c>
      <c r="B6" s="134"/>
      <c r="C6" s="134"/>
      <c r="D6" s="73"/>
    </row>
    <row r="7" spans="1:5" s="1" customFormat="1" ht="3.75" customHeight="1" x14ac:dyDescent="0.35">
      <c r="C7" s="4"/>
      <c r="D7" s="4"/>
    </row>
    <row r="8" spans="1:5" s="2" customFormat="1" ht="24" customHeight="1" x14ac:dyDescent="0.3">
      <c r="A8" s="7" t="s">
        <v>0</v>
      </c>
      <c r="B8" s="7" t="s">
        <v>1</v>
      </c>
      <c r="C8" s="8" t="s">
        <v>2</v>
      </c>
      <c r="D8" s="17"/>
    </row>
    <row r="9" spans="1:5" s="11" customFormat="1" ht="23.1" customHeight="1" x14ac:dyDescent="0.3">
      <c r="A9" s="29"/>
      <c r="B9" s="29" t="s">
        <v>30</v>
      </c>
      <c r="C9" s="30"/>
      <c r="D9" s="18"/>
    </row>
    <row r="10" spans="1:5" s="11" customFormat="1" ht="23.1" customHeight="1" x14ac:dyDescent="0.3">
      <c r="A10" s="31" t="s">
        <v>3</v>
      </c>
      <c r="B10" s="31" t="s">
        <v>4</v>
      </c>
      <c r="C10" s="32"/>
      <c r="D10" s="18"/>
    </row>
    <row r="11" spans="1:5" s="2" customFormat="1" ht="16.5" customHeight="1" x14ac:dyDescent="0.3">
      <c r="A11" s="33"/>
      <c r="B11" s="33" t="s">
        <v>31</v>
      </c>
      <c r="C11" s="34"/>
      <c r="D11" s="19"/>
    </row>
    <row r="12" spans="1:5" s="2" customFormat="1" ht="39" customHeight="1" x14ac:dyDescent="0.3">
      <c r="A12" s="38">
        <v>1</v>
      </c>
      <c r="B12" s="37" t="s">
        <v>148</v>
      </c>
      <c r="C12" s="63">
        <f>5470000*9*2</f>
        <v>98460000</v>
      </c>
      <c r="D12" s="91"/>
      <c r="E12" s="10"/>
    </row>
    <row r="13" spans="1:5" s="2" customFormat="1" ht="25.5" customHeight="1" x14ac:dyDescent="0.35">
      <c r="A13" s="35">
        <v>2</v>
      </c>
      <c r="B13" s="35" t="s">
        <v>175</v>
      </c>
      <c r="C13" s="36">
        <f>2*150000</f>
        <v>300000</v>
      </c>
      <c r="D13" s="20"/>
    </row>
    <row r="14" spans="1:5" s="2" customFormat="1" ht="25.5" customHeight="1" x14ac:dyDescent="0.35">
      <c r="A14" s="38">
        <v>3</v>
      </c>
      <c r="B14" s="37" t="s">
        <v>132</v>
      </c>
      <c r="C14" s="36">
        <v>24000</v>
      </c>
      <c r="D14" s="20"/>
    </row>
    <row r="15" spans="1:5" s="2" customFormat="1" ht="23.1" customHeight="1" x14ac:dyDescent="0.3">
      <c r="A15" s="33"/>
      <c r="B15" s="39" t="s">
        <v>8</v>
      </c>
      <c r="C15" s="34">
        <f>C12+C13+C14</f>
        <v>98784000</v>
      </c>
      <c r="D15" s="19"/>
      <c r="E15" s="10"/>
    </row>
    <row r="16" spans="1:5" s="2" customFormat="1" ht="23.1" customHeight="1" x14ac:dyDescent="0.3">
      <c r="A16" s="33"/>
      <c r="B16" s="33" t="s">
        <v>9</v>
      </c>
      <c r="C16" s="34"/>
      <c r="D16" s="19"/>
    </row>
    <row r="17" spans="1:5" s="2" customFormat="1" ht="23.1" customHeight="1" x14ac:dyDescent="0.35">
      <c r="A17" s="35"/>
      <c r="B17" s="35" t="s">
        <v>174</v>
      </c>
      <c r="C17" s="36">
        <f>784*14000*9</f>
        <v>98784000</v>
      </c>
      <c r="D17" s="20"/>
    </row>
    <row r="18" spans="1:5" s="2" customFormat="1" ht="23.1" customHeight="1" x14ac:dyDescent="0.35">
      <c r="A18" s="33"/>
      <c r="B18" s="39" t="s">
        <v>10</v>
      </c>
      <c r="C18" s="34">
        <f>C17</f>
        <v>98784000</v>
      </c>
      <c r="D18" s="20"/>
    </row>
    <row r="19" spans="1:5" s="11" customFormat="1" ht="23.1" customHeight="1" x14ac:dyDescent="0.3">
      <c r="A19" s="31" t="s">
        <v>5</v>
      </c>
      <c r="B19" s="31" t="s">
        <v>67</v>
      </c>
      <c r="C19" s="32"/>
      <c r="D19" s="18"/>
    </row>
    <row r="20" spans="1:5" s="2" customFormat="1" ht="16.5" customHeight="1" x14ac:dyDescent="0.3">
      <c r="A20" s="33"/>
      <c r="B20" s="33" t="s">
        <v>31</v>
      </c>
      <c r="C20" s="34"/>
      <c r="D20" s="19"/>
    </row>
    <row r="21" spans="1:5" s="2" customFormat="1" ht="42.75" customHeight="1" x14ac:dyDescent="0.35">
      <c r="A21" s="38">
        <v>1</v>
      </c>
      <c r="B21" s="37" t="s">
        <v>191</v>
      </c>
      <c r="C21" s="63">
        <f>4230000*9</f>
        <v>38070000</v>
      </c>
      <c r="D21" s="20"/>
    </row>
    <row r="22" spans="1:5" s="2" customFormat="1" ht="23.1" customHeight="1" x14ac:dyDescent="0.35">
      <c r="A22" s="35">
        <v>2</v>
      </c>
      <c r="B22" s="35" t="s">
        <v>177</v>
      </c>
      <c r="C22" s="36">
        <v>250000</v>
      </c>
      <c r="D22" s="20"/>
    </row>
    <row r="23" spans="1:5" s="2" customFormat="1" ht="26.25" customHeight="1" x14ac:dyDescent="0.35">
      <c r="A23" s="38">
        <v>3</v>
      </c>
      <c r="B23" s="37" t="s">
        <v>132</v>
      </c>
      <c r="C23" s="36">
        <v>20000</v>
      </c>
      <c r="D23" s="20"/>
      <c r="E23" s="10"/>
    </row>
    <row r="24" spans="1:5" s="2" customFormat="1" ht="23.1" customHeight="1" x14ac:dyDescent="0.3">
      <c r="A24" s="33"/>
      <c r="B24" s="39" t="s">
        <v>8</v>
      </c>
      <c r="C24" s="34">
        <f>C21+C22+C23</f>
        <v>38340000</v>
      </c>
      <c r="D24" s="19"/>
      <c r="E24" s="10"/>
    </row>
    <row r="25" spans="1:5" s="2" customFormat="1" ht="23.1" customHeight="1" x14ac:dyDescent="0.3">
      <c r="A25" s="33"/>
      <c r="B25" s="33" t="s">
        <v>9</v>
      </c>
      <c r="C25" s="34"/>
      <c r="D25" s="19"/>
      <c r="E25" s="10"/>
    </row>
    <row r="26" spans="1:5" s="2" customFormat="1" ht="23.1" customHeight="1" x14ac:dyDescent="0.35">
      <c r="A26" s="35"/>
      <c r="B26" s="35" t="s">
        <v>176</v>
      </c>
      <c r="C26" s="36">
        <f>284*15000*9</f>
        <v>38340000</v>
      </c>
      <c r="D26" s="20"/>
    </row>
    <row r="27" spans="1:5" s="2" customFormat="1" ht="23.1" customHeight="1" x14ac:dyDescent="0.3">
      <c r="A27" s="33"/>
      <c r="B27" s="39" t="s">
        <v>10</v>
      </c>
      <c r="C27" s="34">
        <f>C26</f>
        <v>38340000</v>
      </c>
      <c r="D27" s="19"/>
    </row>
    <row r="28" spans="1:5" s="11" customFormat="1" ht="23.1" customHeight="1" x14ac:dyDescent="0.3">
      <c r="A28" s="31" t="s">
        <v>11</v>
      </c>
      <c r="B28" s="31" t="s">
        <v>6</v>
      </c>
      <c r="C28" s="32"/>
      <c r="D28" s="18"/>
    </row>
    <row r="29" spans="1:5" s="3" customFormat="1" ht="23.1" customHeight="1" x14ac:dyDescent="0.35">
      <c r="A29" s="40"/>
      <c r="B29" s="40" t="s">
        <v>7</v>
      </c>
      <c r="C29" s="41"/>
      <c r="D29" s="21"/>
    </row>
    <row r="30" spans="1:5" s="1" customFormat="1" ht="23.1" customHeight="1" x14ac:dyDescent="0.35">
      <c r="A30" s="35"/>
      <c r="B30" s="62" t="s">
        <v>62</v>
      </c>
      <c r="C30" s="42">
        <f>C33</f>
        <v>120150000</v>
      </c>
      <c r="D30" s="22"/>
    </row>
    <row r="31" spans="1:5" s="2" customFormat="1" ht="23.1" customHeight="1" x14ac:dyDescent="0.3">
      <c r="A31" s="33"/>
      <c r="B31" s="39" t="s">
        <v>8</v>
      </c>
      <c r="C31" s="34">
        <f>C30</f>
        <v>120150000</v>
      </c>
      <c r="D31" s="19"/>
    </row>
    <row r="32" spans="1:5" s="3" customFormat="1" ht="23.1" customHeight="1" x14ac:dyDescent="0.35">
      <c r="A32" s="40"/>
      <c r="B32" s="40" t="s">
        <v>9</v>
      </c>
      <c r="C32" s="41"/>
      <c r="D32" s="21"/>
    </row>
    <row r="33" spans="1:4" s="1" customFormat="1" ht="63.75" customHeight="1" x14ac:dyDescent="0.35">
      <c r="A33" s="35"/>
      <c r="B33" s="37" t="s">
        <v>79</v>
      </c>
      <c r="C33" s="43">
        <f>1335*10000*9</f>
        <v>120150000</v>
      </c>
      <c r="D33" s="22"/>
    </row>
    <row r="34" spans="1:4" s="2" customFormat="1" ht="18" customHeight="1" x14ac:dyDescent="0.3">
      <c r="A34" s="33"/>
      <c r="B34" s="39" t="s">
        <v>10</v>
      </c>
      <c r="C34" s="34">
        <f>C33</f>
        <v>120150000</v>
      </c>
      <c r="D34" s="19"/>
    </row>
    <row r="35" spans="1:4" s="11" customFormat="1" ht="19.5" customHeight="1" x14ac:dyDescent="0.3">
      <c r="A35" s="31" t="s">
        <v>13</v>
      </c>
      <c r="B35" s="31" t="s">
        <v>86</v>
      </c>
      <c r="C35" s="32"/>
      <c r="D35" s="18"/>
    </row>
    <row r="36" spans="1:4" s="3" customFormat="1" ht="18" customHeight="1" x14ac:dyDescent="0.35">
      <c r="A36" s="40"/>
      <c r="B36" s="40" t="s">
        <v>7</v>
      </c>
      <c r="C36" s="41"/>
      <c r="D36" s="21"/>
    </row>
    <row r="37" spans="1:4" s="9" customFormat="1" ht="43.5" customHeight="1" x14ac:dyDescent="0.35">
      <c r="A37" s="66">
        <v>1</v>
      </c>
      <c r="B37" s="65" t="s">
        <v>88</v>
      </c>
      <c r="C37" s="63">
        <f>C38+C39</f>
        <v>3235680000</v>
      </c>
      <c r="D37" s="20"/>
    </row>
    <row r="38" spans="1:4" s="14" customFormat="1" ht="41.25" customHeight="1" x14ac:dyDescent="0.35">
      <c r="A38" s="67"/>
      <c r="B38" s="48" t="s">
        <v>151</v>
      </c>
      <c r="C38" s="89">
        <f>18000*16*1070*9</f>
        <v>2773440000</v>
      </c>
      <c r="D38" s="24"/>
    </row>
    <row r="39" spans="1:4" s="14" customFormat="1" ht="43.5" customHeight="1" x14ac:dyDescent="0.35">
      <c r="A39" s="67"/>
      <c r="B39" s="48" t="s">
        <v>152</v>
      </c>
      <c r="C39" s="89">
        <f>3000*16*1070*9</f>
        <v>462240000</v>
      </c>
      <c r="D39" s="24"/>
    </row>
    <row r="40" spans="1:4" s="3" customFormat="1" ht="23.1" customHeight="1" x14ac:dyDescent="0.35">
      <c r="A40" s="40"/>
      <c r="B40" s="40" t="s">
        <v>87</v>
      </c>
      <c r="C40" s="41" t="s">
        <v>153</v>
      </c>
      <c r="D40" s="21"/>
    </row>
    <row r="41" spans="1:4" s="11" customFormat="1" ht="23.1" customHeight="1" x14ac:dyDescent="0.3">
      <c r="A41" s="31" t="s">
        <v>14</v>
      </c>
      <c r="B41" s="31" t="s">
        <v>89</v>
      </c>
      <c r="C41" s="32"/>
      <c r="D41" s="18"/>
    </row>
    <row r="42" spans="1:4" s="3" customFormat="1" ht="36" x14ac:dyDescent="0.35">
      <c r="A42" s="40"/>
      <c r="B42" s="46" t="s">
        <v>141</v>
      </c>
      <c r="C42" s="41"/>
      <c r="D42" s="21"/>
    </row>
    <row r="43" spans="1:4" s="9" customFormat="1" ht="23.1" customHeight="1" x14ac:dyDescent="0.35">
      <c r="A43" s="45">
        <v>1</v>
      </c>
      <c r="B43" s="45" t="s">
        <v>63</v>
      </c>
      <c r="C43" s="36">
        <f>C44+C46+C47</f>
        <v>468720000</v>
      </c>
      <c r="D43" s="20"/>
    </row>
    <row r="44" spans="1:4" s="14" customFormat="1" ht="36" x14ac:dyDescent="0.35">
      <c r="A44" s="47"/>
      <c r="B44" s="48" t="s">
        <v>133</v>
      </c>
      <c r="C44" s="89">
        <f>120000*2*16*9</f>
        <v>34560000</v>
      </c>
      <c r="D44" s="24"/>
    </row>
    <row r="45" spans="1:4" s="14" customFormat="1" ht="36" x14ac:dyDescent="0.35">
      <c r="A45" s="47"/>
      <c r="B45" s="48" t="s">
        <v>134</v>
      </c>
      <c r="C45" s="89">
        <f>105000*1*16*9</f>
        <v>15120000</v>
      </c>
      <c r="D45" s="24"/>
    </row>
    <row r="46" spans="1:4" s="14" customFormat="1" ht="36" x14ac:dyDescent="0.35">
      <c r="A46" s="47"/>
      <c r="B46" s="48" t="s">
        <v>144</v>
      </c>
      <c r="C46" s="89">
        <f>100000*14*16*9</f>
        <v>201600000</v>
      </c>
      <c r="D46" s="24"/>
    </row>
    <row r="47" spans="1:4" s="14" customFormat="1" ht="36" x14ac:dyDescent="0.35">
      <c r="A47" s="47"/>
      <c r="B47" s="48" t="s">
        <v>135</v>
      </c>
      <c r="C47" s="89">
        <f>95000*17*16*9</f>
        <v>232560000</v>
      </c>
      <c r="D47" s="24"/>
    </row>
    <row r="48" spans="1:4" s="14" customFormat="1" ht="18" x14ac:dyDescent="0.35">
      <c r="A48" s="47"/>
      <c r="B48" s="48" t="s">
        <v>143</v>
      </c>
      <c r="C48" s="49"/>
      <c r="D48" s="24"/>
    </row>
    <row r="49" spans="1:4" s="14" customFormat="1" ht="27" customHeight="1" x14ac:dyDescent="0.35">
      <c r="A49" s="35">
        <v>2</v>
      </c>
      <c r="B49" s="37" t="s">
        <v>131</v>
      </c>
      <c r="C49" s="42">
        <f>C50</f>
        <v>77040000</v>
      </c>
      <c r="D49" s="24"/>
    </row>
    <row r="50" spans="1:4" s="14" customFormat="1" ht="18" x14ac:dyDescent="0.35">
      <c r="A50" s="47"/>
      <c r="B50" s="48" t="s">
        <v>169</v>
      </c>
      <c r="C50" s="49">
        <f>1070*8000*9</f>
        <v>77040000</v>
      </c>
      <c r="D50" s="24"/>
    </row>
    <row r="51" spans="1:4" s="9" customFormat="1" ht="36" x14ac:dyDescent="0.35">
      <c r="A51" s="66">
        <v>3</v>
      </c>
      <c r="B51" s="65" t="s">
        <v>68</v>
      </c>
      <c r="C51" s="63">
        <f>2600000*9</f>
        <v>23400000</v>
      </c>
      <c r="D51" s="20"/>
    </row>
    <row r="52" spans="1:4" s="1" customFormat="1" ht="36" x14ac:dyDescent="0.35">
      <c r="A52" s="38">
        <v>4</v>
      </c>
      <c r="B52" s="37" t="s">
        <v>69</v>
      </c>
      <c r="C52" s="43">
        <f>2300000*9</f>
        <v>20700000</v>
      </c>
      <c r="D52" s="22"/>
    </row>
    <row r="53" spans="1:4" s="1" customFormat="1" ht="23.1" customHeight="1" x14ac:dyDescent="0.35">
      <c r="A53" s="66">
        <v>5</v>
      </c>
      <c r="B53" s="65" t="s">
        <v>70</v>
      </c>
      <c r="C53" s="42">
        <f>2300000*9</f>
        <v>20700000</v>
      </c>
      <c r="D53" s="22"/>
    </row>
    <row r="54" spans="1:4" s="1" customFormat="1" ht="23.1" customHeight="1" x14ac:dyDescent="0.35">
      <c r="A54" s="38">
        <v>6</v>
      </c>
      <c r="B54" s="35" t="s">
        <v>71</v>
      </c>
      <c r="C54" s="42">
        <f>2600000*9</f>
        <v>23400000</v>
      </c>
      <c r="D54" s="22"/>
    </row>
    <row r="55" spans="1:4" s="1" customFormat="1" ht="23.1" customHeight="1" x14ac:dyDescent="0.35">
      <c r="A55" s="66">
        <v>7</v>
      </c>
      <c r="B55" s="35" t="s">
        <v>72</v>
      </c>
      <c r="C55" s="42">
        <f>2300000*9</f>
        <v>20700000</v>
      </c>
      <c r="D55" s="22"/>
    </row>
    <row r="56" spans="1:4" s="1" customFormat="1" ht="36" x14ac:dyDescent="0.35">
      <c r="A56" s="38">
        <v>8</v>
      </c>
      <c r="B56" s="37" t="s">
        <v>73</v>
      </c>
      <c r="C56" s="43">
        <f>2300000*9</f>
        <v>20700000</v>
      </c>
      <c r="D56" s="23"/>
    </row>
    <row r="57" spans="1:4" s="1" customFormat="1" ht="42.75" customHeight="1" x14ac:dyDescent="0.35">
      <c r="A57" s="66">
        <v>9</v>
      </c>
      <c r="B57" s="37" t="s">
        <v>74</v>
      </c>
      <c r="C57" s="43">
        <v>4200000</v>
      </c>
      <c r="D57" s="22"/>
    </row>
    <row r="58" spans="1:4" s="1" customFormat="1" ht="42.75" customHeight="1" x14ac:dyDescent="0.35">
      <c r="A58" s="38">
        <v>10</v>
      </c>
      <c r="B58" s="37" t="s">
        <v>170</v>
      </c>
      <c r="C58" s="43">
        <f>1500000*9</f>
        <v>13500000</v>
      </c>
      <c r="D58" s="22"/>
    </row>
    <row r="59" spans="1:4" s="1" customFormat="1" ht="18" x14ac:dyDescent="0.35">
      <c r="A59" s="66">
        <v>11</v>
      </c>
      <c r="B59" s="37" t="s">
        <v>136</v>
      </c>
      <c r="C59" s="43">
        <f>2000*350</f>
        <v>700000</v>
      </c>
      <c r="D59" s="25"/>
    </row>
    <row r="60" spans="1:4" s="1" customFormat="1" ht="18" x14ac:dyDescent="0.35">
      <c r="A60" s="38">
        <v>12</v>
      </c>
      <c r="B60" s="37" t="s">
        <v>171</v>
      </c>
      <c r="C60" s="43">
        <f>28*75000</f>
        <v>2100000</v>
      </c>
      <c r="D60" s="25"/>
    </row>
    <row r="61" spans="1:4" s="1" customFormat="1" ht="18" x14ac:dyDescent="0.35">
      <c r="A61" s="66">
        <v>13</v>
      </c>
      <c r="B61" s="37" t="s">
        <v>137</v>
      </c>
      <c r="C61" s="43">
        <f>2*50000</f>
        <v>100000</v>
      </c>
      <c r="D61" s="25"/>
    </row>
    <row r="62" spans="1:4" s="1" customFormat="1" ht="24" customHeight="1" x14ac:dyDescent="0.35">
      <c r="A62" s="38">
        <v>14</v>
      </c>
      <c r="B62" s="37" t="s">
        <v>138</v>
      </c>
      <c r="C62" s="43">
        <f>2*95000</f>
        <v>190000</v>
      </c>
      <c r="D62" s="25"/>
    </row>
    <row r="63" spans="1:4" s="1" customFormat="1" ht="24" customHeight="1" x14ac:dyDescent="0.35">
      <c r="A63" s="66">
        <v>15</v>
      </c>
      <c r="B63" s="37" t="s">
        <v>139</v>
      </c>
      <c r="C63" s="43">
        <f>435*40000</f>
        <v>17400000</v>
      </c>
      <c r="D63" s="25"/>
    </row>
    <row r="64" spans="1:4" s="1" customFormat="1" ht="18" x14ac:dyDescent="0.35">
      <c r="A64" s="38">
        <v>16</v>
      </c>
      <c r="B64" s="37" t="s">
        <v>140</v>
      </c>
      <c r="C64" s="43">
        <f>435*20000</f>
        <v>8700000</v>
      </c>
      <c r="D64" s="25"/>
    </row>
    <row r="65" spans="1:4" s="1" customFormat="1" ht="18" x14ac:dyDescent="0.35">
      <c r="A65" s="66">
        <v>17</v>
      </c>
      <c r="B65" s="37" t="s">
        <v>142</v>
      </c>
      <c r="C65" s="43">
        <f>1070*9000*2</f>
        <v>19260000</v>
      </c>
      <c r="D65" s="25"/>
    </row>
    <row r="66" spans="1:4" s="1" customFormat="1" ht="18" x14ac:dyDescent="0.35">
      <c r="A66" s="77"/>
      <c r="B66" s="44" t="s">
        <v>8</v>
      </c>
      <c r="C66" s="88">
        <f>C43+C49+C51+C52+C53+C54+C55+C56+C57+C58+C59+C60+C61+C62+C63+C64+C65</f>
        <v>741510000</v>
      </c>
      <c r="D66" s="25"/>
    </row>
    <row r="67" spans="1:4" s="1" customFormat="1" ht="18" x14ac:dyDescent="0.35">
      <c r="A67" s="77"/>
      <c r="B67" s="39" t="s">
        <v>9</v>
      </c>
      <c r="C67" s="78"/>
      <c r="D67" s="25"/>
    </row>
    <row r="68" spans="1:4" s="1" customFormat="1" ht="18" x14ac:dyDescent="0.35">
      <c r="A68" s="77"/>
      <c r="B68" s="35" t="s">
        <v>172</v>
      </c>
      <c r="C68" s="78">
        <f>1070*77000*9</f>
        <v>741510000</v>
      </c>
      <c r="D68" s="25"/>
    </row>
    <row r="69" spans="1:4" s="1" customFormat="1" ht="18" x14ac:dyDescent="0.35">
      <c r="A69" s="77"/>
      <c r="B69" s="39" t="s">
        <v>10</v>
      </c>
      <c r="C69" s="88">
        <f>C68</f>
        <v>741510000</v>
      </c>
      <c r="D69" s="25"/>
    </row>
    <row r="70" spans="1:4" s="1" customFormat="1" ht="18" x14ac:dyDescent="0.35">
      <c r="A70" s="31" t="s">
        <v>27</v>
      </c>
      <c r="B70" s="31" t="s">
        <v>90</v>
      </c>
      <c r="C70" s="78"/>
      <c r="D70" s="25"/>
    </row>
    <row r="71" spans="1:4" s="14" customFormat="1" ht="44.25" customHeight="1" x14ac:dyDescent="0.35">
      <c r="A71" s="79">
        <v>1</v>
      </c>
      <c r="B71" s="80" t="s">
        <v>91</v>
      </c>
      <c r="C71" s="81"/>
      <c r="D71" s="82"/>
    </row>
    <row r="72" spans="1:4" s="1" customFormat="1" ht="18" x14ac:dyDescent="0.35">
      <c r="A72" s="77" t="s">
        <v>92</v>
      </c>
      <c r="B72" s="37" t="s">
        <v>93</v>
      </c>
      <c r="C72" s="78"/>
      <c r="D72" s="25"/>
    </row>
    <row r="73" spans="1:4" s="1" customFormat="1" ht="30.75" customHeight="1" x14ac:dyDescent="0.35">
      <c r="A73" s="38">
        <v>1</v>
      </c>
      <c r="B73" s="37" t="s">
        <v>183</v>
      </c>
      <c r="C73" s="43">
        <f>60000*9*25</f>
        <v>13500000</v>
      </c>
      <c r="D73" s="22"/>
    </row>
    <row r="74" spans="1:4" s="92" customFormat="1" ht="39.75" customHeight="1" x14ac:dyDescent="0.3">
      <c r="A74" s="38">
        <v>2</v>
      </c>
      <c r="B74" s="37" t="s">
        <v>186</v>
      </c>
      <c r="C74" s="43">
        <f>39000*9*25</f>
        <v>8775000</v>
      </c>
      <c r="D74" s="23"/>
    </row>
    <row r="75" spans="1:4" s="84" customFormat="1" ht="42.75" customHeight="1" x14ac:dyDescent="0.35">
      <c r="A75" s="85">
        <v>3</v>
      </c>
      <c r="B75" s="86" t="s">
        <v>188</v>
      </c>
      <c r="C75" s="87">
        <f>10*9*30000</f>
        <v>2700000</v>
      </c>
      <c r="D75" s="83"/>
    </row>
    <row r="76" spans="1:4" s="1" customFormat="1" ht="18" x14ac:dyDescent="0.35">
      <c r="A76" s="35">
        <v>4</v>
      </c>
      <c r="B76" s="35" t="s">
        <v>187</v>
      </c>
      <c r="C76" s="42">
        <f>50000*25*2*2</f>
        <v>5000000</v>
      </c>
      <c r="D76" s="22"/>
    </row>
    <row r="77" spans="1:4" s="1" customFormat="1" ht="23.1" customHeight="1" x14ac:dyDescent="0.35">
      <c r="A77" s="85">
        <v>5</v>
      </c>
      <c r="B77" s="35" t="s">
        <v>185</v>
      </c>
      <c r="C77" s="42">
        <f>1*25*60000*9</f>
        <v>13500000</v>
      </c>
      <c r="D77" s="22"/>
    </row>
    <row r="78" spans="1:4" s="1" customFormat="1" ht="18" x14ac:dyDescent="0.35">
      <c r="A78" s="35">
        <v>6</v>
      </c>
      <c r="B78" s="53" t="s">
        <v>173</v>
      </c>
      <c r="C78" s="54">
        <f>26000*820*2</f>
        <v>42640000</v>
      </c>
      <c r="D78" s="25"/>
    </row>
    <row r="79" spans="1:4" s="1" customFormat="1" ht="18" x14ac:dyDescent="0.35">
      <c r="A79" s="85">
        <v>7</v>
      </c>
      <c r="B79" s="37" t="s">
        <v>94</v>
      </c>
      <c r="C79" s="43">
        <f>25*2*50000</f>
        <v>2500000</v>
      </c>
      <c r="D79" s="25"/>
    </row>
    <row r="80" spans="1:4" s="1" customFormat="1" ht="18" x14ac:dyDescent="0.35">
      <c r="A80" s="35">
        <v>8</v>
      </c>
      <c r="B80" s="37" t="s">
        <v>149</v>
      </c>
      <c r="C80" s="43">
        <f>25*13000</f>
        <v>325000</v>
      </c>
      <c r="D80" s="25"/>
    </row>
    <row r="81" spans="1:5" s="1" customFormat="1" ht="18" x14ac:dyDescent="0.35">
      <c r="A81" s="85">
        <v>9</v>
      </c>
      <c r="B81" s="37" t="s">
        <v>95</v>
      </c>
      <c r="C81" s="43">
        <f>25*20000</f>
        <v>500000</v>
      </c>
      <c r="D81" s="25"/>
    </row>
    <row r="82" spans="1:5" s="1" customFormat="1" ht="18" x14ac:dyDescent="0.35">
      <c r="A82" s="35">
        <v>10</v>
      </c>
      <c r="B82" s="37" t="s">
        <v>96</v>
      </c>
      <c r="C82" s="43">
        <f>25*45000</f>
        <v>1125000</v>
      </c>
      <c r="D82" s="25"/>
    </row>
    <row r="83" spans="1:5" s="1" customFormat="1" ht="18" x14ac:dyDescent="0.35">
      <c r="A83" s="85">
        <v>11</v>
      </c>
      <c r="B83" s="37" t="s">
        <v>97</v>
      </c>
      <c r="C83" s="43">
        <f>25*25000</f>
        <v>625000</v>
      </c>
      <c r="D83" s="25"/>
    </row>
    <row r="84" spans="1:5" s="15" customFormat="1" ht="21" customHeight="1" x14ac:dyDescent="0.35">
      <c r="A84" s="35">
        <v>12</v>
      </c>
      <c r="B84" s="53" t="s">
        <v>189</v>
      </c>
      <c r="C84" s="55">
        <f>95000*25*2</f>
        <v>4750000</v>
      </c>
      <c r="D84" s="26"/>
    </row>
    <row r="85" spans="1:5" s="1" customFormat="1" ht="63" customHeight="1" x14ac:dyDescent="0.35">
      <c r="A85" s="85">
        <v>13</v>
      </c>
      <c r="B85" s="37" t="s">
        <v>105</v>
      </c>
      <c r="C85" s="75"/>
      <c r="D85" s="25"/>
    </row>
    <row r="86" spans="1:5" s="1" customFormat="1" ht="23.1" customHeight="1" x14ac:dyDescent="0.35">
      <c r="A86" s="74"/>
      <c r="B86" s="44" t="s">
        <v>8</v>
      </c>
      <c r="C86" s="50">
        <f>SUM(C73:C85)</f>
        <v>95940000</v>
      </c>
      <c r="D86" s="27"/>
    </row>
    <row r="87" spans="1:5" s="2" customFormat="1" ht="23.1" customHeight="1" x14ac:dyDescent="0.3">
      <c r="A87" s="33"/>
      <c r="B87" s="33" t="s">
        <v>168</v>
      </c>
      <c r="C87" s="34"/>
      <c r="D87" s="19"/>
    </row>
    <row r="88" spans="1:5" s="2" customFormat="1" ht="23.1" customHeight="1" x14ac:dyDescent="0.3">
      <c r="A88" s="33"/>
      <c r="B88" s="33" t="s">
        <v>167</v>
      </c>
      <c r="C88" s="34">
        <f>820*13000*9</f>
        <v>95940000</v>
      </c>
      <c r="D88" s="19"/>
    </row>
    <row r="89" spans="1:5" s="2" customFormat="1" ht="23.1" customHeight="1" x14ac:dyDescent="0.3">
      <c r="A89" s="33"/>
      <c r="B89" s="39" t="s">
        <v>10</v>
      </c>
      <c r="C89" s="34">
        <f>C88</f>
        <v>95940000</v>
      </c>
      <c r="D89" s="19"/>
      <c r="E89" s="10"/>
    </row>
    <row r="90" spans="1:5" s="11" customFormat="1" ht="36.75" customHeight="1" x14ac:dyDescent="0.3">
      <c r="A90" s="31">
        <v>2</v>
      </c>
      <c r="B90" s="80" t="s">
        <v>98</v>
      </c>
      <c r="C90" s="32"/>
      <c r="D90" s="18"/>
    </row>
    <row r="91" spans="1:5" s="3" customFormat="1" ht="21" customHeight="1" x14ac:dyDescent="0.35">
      <c r="A91" s="40"/>
      <c r="B91" s="56" t="s">
        <v>7</v>
      </c>
      <c r="C91" s="41"/>
      <c r="D91" s="21"/>
    </row>
    <row r="92" spans="1:5" s="1" customFormat="1" ht="21" customHeight="1" x14ac:dyDescent="0.35">
      <c r="A92" s="35">
        <v>1</v>
      </c>
      <c r="B92" s="35" t="s">
        <v>181</v>
      </c>
      <c r="C92" s="42">
        <f>54*370000</f>
        <v>19980000</v>
      </c>
      <c r="D92" s="22"/>
    </row>
    <row r="93" spans="1:5" s="1" customFormat="1" ht="21" customHeight="1" x14ac:dyDescent="0.35">
      <c r="A93" s="35">
        <v>2</v>
      </c>
      <c r="B93" s="35" t="s">
        <v>180</v>
      </c>
      <c r="C93" s="42">
        <f>54*170000</f>
        <v>9180000</v>
      </c>
    </row>
    <row r="94" spans="1:5" s="1" customFormat="1" ht="21" customHeight="1" x14ac:dyDescent="0.35">
      <c r="A94" s="35">
        <v>3</v>
      </c>
      <c r="B94" s="35" t="s">
        <v>145</v>
      </c>
      <c r="C94" s="42">
        <f>250*39000</f>
        <v>9750000</v>
      </c>
      <c r="D94" s="22"/>
    </row>
    <row r="95" spans="1:5" s="1" customFormat="1" ht="21" customHeight="1" x14ac:dyDescent="0.35">
      <c r="A95" s="35">
        <v>4</v>
      </c>
      <c r="B95" s="35" t="s">
        <v>182</v>
      </c>
      <c r="C95" s="42">
        <f>9*550000</f>
        <v>4950000</v>
      </c>
      <c r="D95" s="22"/>
    </row>
    <row r="96" spans="1:5" s="1" customFormat="1" ht="21" customHeight="1" x14ac:dyDescent="0.35">
      <c r="A96" s="35">
        <v>5</v>
      </c>
      <c r="B96" s="35" t="s">
        <v>76</v>
      </c>
      <c r="C96" s="42">
        <f>4*880000</f>
        <v>3520000</v>
      </c>
      <c r="D96" s="22"/>
    </row>
    <row r="97" spans="1:4" s="1" customFormat="1" ht="21" customHeight="1" x14ac:dyDescent="0.35">
      <c r="A97" s="35">
        <v>6</v>
      </c>
      <c r="B97" s="35" t="s">
        <v>184</v>
      </c>
      <c r="C97" s="42">
        <f>4*1950000</f>
        <v>7800000</v>
      </c>
      <c r="D97" s="22"/>
    </row>
    <row r="98" spans="1:4" s="92" customFormat="1" ht="41.25" customHeight="1" x14ac:dyDescent="0.3">
      <c r="A98" s="38">
        <v>7</v>
      </c>
      <c r="B98" s="37" t="s">
        <v>178</v>
      </c>
      <c r="C98" s="43">
        <f>60000*9*9</f>
        <v>4860000</v>
      </c>
      <c r="D98" s="23"/>
    </row>
    <row r="99" spans="1:4" s="92" customFormat="1" ht="26.25" customHeight="1" x14ac:dyDescent="0.3">
      <c r="A99" s="38">
        <v>8</v>
      </c>
      <c r="B99" s="37" t="s">
        <v>192</v>
      </c>
      <c r="C99" s="43">
        <f>39000*9*9</f>
        <v>3159000</v>
      </c>
      <c r="D99" s="23"/>
    </row>
    <row r="100" spans="1:4" s="1" customFormat="1" ht="42" customHeight="1" x14ac:dyDescent="0.35">
      <c r="A100" s="38">
        <v>9</v>
      </c>
      <c r="B100" s="86" t="s">
        <v>146</v>
      </c>
      <c r="C100" s="87">
        <f>4*9*30000</f>
        <v>1080000</v>
      </c>
      <c r="D100" s="22"/>
    </row>
    <row r="101" spans="1:4" s="1" customFormat="1" ht="21" customHeight="1" x14ac:dyDescent="0.35">
      <c r="A101" s="35">
        <v>10</v>
      </c>
      <c r="B101" s="35" t="s">
        <v>187</v>
      </c>
      <c r="C101" s="42">
        <f>50000*9*2*2</f>
        <v>1800000</v>
      </c>
      <c r="D101" s="22"/>
    </row>
    <row r="102" spans="1:4" s="1" customFormat="1" ht="23.1" customHeight="1" x14ac:dyDescent="0.35">
      <c r="A102" s="35">
        <v>11</v>
      </c>
      <c r="B102" s="35" t="s">
        <v>99</v>
      </c>
      <c r="C102" s="42">
        <f>1*9*60000*9</f>
        <v>4860000</v>
      </c>
      <c r="D102" s="22"/>
    </row>
    <row r="103" spans="1:4" s="1" customFormat="1" ht="18" x14ac:dyDescent="0.35">
      <c r="A103" s="35">
        <v>12</v>
      </c>
      <c r="B103" s="53" t="s">
        <v>100</v>
      </c>
      <c r="C103" s="54">
        <f>26000*250*2</f>
        <v>13000000</v>
      </c>
      <c r="D103" s="25"/>
    </row>
    <row r="104" spans="1:4" s="1" customFormat="1" ht="18" x14ac:dyDescent="0.35">
      <c r="A104" s="35">
        <v>13</v>
      </c>
      <c r="B104" s="37" t="s">
        <v>101</v>
      </c>
      <c r="C104" s="43">
        <f>9*2*50000</f>
        <v>900000</v>
      </c>
      <c r="D104" s="25"/>
    </row>
    <row r="105" spans="1:4" s="1" customFormat="1" ht="18" x14ac:dyDescent="0.35">
      <c r="A105" s="35">
        <v>14</v>
      </c>
      <c r="B105" s="37" t="s">
        <v>150</v>
      </c>
      <c r="C105" s="43">
        <f>9*13000</f>
        <v>117000</v>
      </c>
      <c r="D105" s="25"/>
    </row>
    <row r="106" spans="1:4" s="1" customFormat="1" ht="18" x14ac:dyDescent="0.35">
      <c r="A106" s="35">
        <v>15</v>
      </c>
      <c r="B106" s="37" t="s">
        <v>102</v>
      </c>
      <c r="C106" s="43">
        <f>9*20000</f>
        <v>180000</v>
      </c>
      <c r="D106" s="25"/>
    </row>
    <row r="107" spans="1:4" s="1" customFormat="1" ht="18" x14ac:dyDescent="0.35">
      <c r="A107" s="35">
        <v>16</v>
      </c>
      <c r="B107" s="37" t="s">
        <v>103</v>
      </c>
      <c r="C107" s="43">
        <f>9*45000</f>
        <v>405000</v>
      </c>
      <c r="D107" s="25"/>
    </row>
    <row r="108" spans="1:4" s="1" customFormat="1" ht="18" x14ac:dyDescent="0.35">
      <c r="A108" s="35">
        <v>17</v>
      </c>
      <c r="B108" s="37" t="s">
        <v>104</v>
      </c>
      <c r="C108" s="43">
        <f>9*25000</f>
        <v>225000</v>
      </c>
      <c r="D108" s="25"/>
    </row>
    <row r="109" spans="1:4" s="15" customFormat="1" ht="21" customHeight="1" x14ac:dyDescent="0.35">
      <c r="A109" s="35">
        <v>18</v>
      </c>
      <c r="B109" s="53" t="s">
        <v>190</v>
      </c>
      <c r="C109" s="55">
        <f>95000*9*2</f>
        <v>1710000</v>
      </c>
      <c r="D109" s="26"/>
    </row>
    <row r="110" spans="1:4" s="1" customFormat="1" ht="59.25" customHeight="1" x14ac:dyDescent="0.35">
      <c r="A110" s="38">
        <v>19</v>
      </c>
      <c r="B110" s="37" t="s">
        <v>105</v>
      </c>
      <c r="C110" s="76">
        <v>24000</v>
      </c>
      <c r="D110" s="25"/>
    </row>
    <row r="111" spans="1:4" s="3" customFormat="1" ht="20.25" customHeight="1" x14ac:dyDescent="0.35">
      <c r="A111" s="40"/>
      <c r="B111" s="44" t="s">
        <v>8</v>
      </c>
      <c r="C111" s="41">
        <f>SUM(C92:C110)</f>
        <v>87500000</v>
      </c>
      <c r="D111" s="21"/>
    </row>
    <row r="112" spans="1:4" s="2" customFormat="1" ht="23.1" customHeight="1" x14ac:dyDescent="0.3">
      <c r="A112" s="33"/>
      <c r="B112" s="61" t="s">
        <v>9</v>
      </c>
      <c r="C112" s="34"/>
      <c r="D112" s="19"/>
    </row>
    <row r="113" spans="1:5" s="1" customFormat="1" ht="23.1" customHeight="1" x14ac:dyDescent="0.35">
      <c r="A113" s="35"/>
      <c r="B113" s="35" t="s">
        <v>179</v>
      </c>
      <c r="C113" s="42">
        <f>250*350000</f>
        <v>87500000</v>
      </c>
      <c r="D113" s="22"/>
    </row>
    <row r="114" spans="1:5" s="2" customFormat="1" ht="21" customHeight="1" x14ac:dyDescent="0.3">
      <c r="A114" s="33"/>
      <c r="B114" s="39" t="s">
        <v>10</v>
      </c>
      <c r="C114" s="34">
        <f>C113</f>
        <v>87500000</v>
      </c>
      <c r="D114" s="19"/>
      <c r="E114" s="10"/>
    </row>
    <row r="115" spans="1:5" s="11" customFormat="1" ht="21" customHeight="1" x14ac:dyDescent="0.3">
      <c r="A115" s="31" t="s">
        <v>77</v>
      </c>
      <c r="B115" s="68" t="s">
        <v>78</v>
      </c>
      <c r="C115" s="32"/>
      <c r="D115" s="18"/>
      <c r="E115" s="69"/>
    </row>
    <row r="116" spans="1:5" s="2" customFormat="1" ht="63.75" customHeight="1" x14ac:dyDescent="0.3">
      <c r="A116" s="33"/>
      <c r="B116" s="70" t="s">
        <v>147</v>
      </c>
      <c r="C116" s="34"/>
      <c r="D116" s="19"/>
      <c r="E116" s="10"/>
    </row>
    <row r="117" spans="1:5" s="11" customFormat="1" ht="23.1" customHeight="1" x14ac:dyDescent="0.3">
      <c r="A117" s="31"/>
      <c r="B117" s="31" t="s">
        <v>51</v>
      </c>
      <c r="C117" s="32"/>
      <c r="D117" s="18"/>
    </row>
    <row r="118" spans="1:5" s="11" customFormat="1" ht="23.1" customHeight="1" x14ac:dyDescent="0.3">
      <c r="A118" s="31" t="s">
        <v>3</v>
      </c>
      <c r="B118" s="31" t="s">
        <v>32</v>
      </c>
      <c r="C118" s="32"/>
      <c r="D118" s="18"/>
    </row>
    <row r="119" spans="1:5" s="16" customFormat="1" ht="23.1" customHeight="1" x14ac:dyDescent="0.35">
      <c r="A119" s="51">
        <v>1</v>
      </c>
      <c r="B119" s="51" t="s">
        <v>61</v>
      </c>
      <c r="C119" s="52"/>
      <c r="D119" s="28"/>
    </row>
    <row r="120" spans="1:5" s="3" customFormat="1" ht="23.1" customHeight="1" x14ac:dyDescent="0.35">
      <c r="A120" s="40"/>
      <c r="B120" s="40" t="s">
        <v>21</v>
      </c>
      <c r="C120" s="41"/>
      <c r="D120" s="21"/>
    </row>
    <row r="121" spans="1:5" s="1" customFormat="1" ht="42" customHeight="1" x14ac:dyDescent="0.35">
      <c r="A121" s="35"/>
      <c r="B121" s="13" t="s">
        <v>80</v>
      </c>
      <c r="C121" s="43">
        <f>285*140805</f>
        <v>40129425</v>
      </c>
      <c r="D121" s="23"/>
    </row>
    <row r="122" spans="1:5" s="1" customFormat="1" ht="36.75" customHeight="1" x14ac:dyDescent="0.35">
      <c r="A122" s="35"/>
      <c r="B122" s="13" t="s">
        <v>81</v>
      </c>
      <c r="C122" s="43">
        <f>1340*563220</f>
        <v>754714800</v>
      </c>
      <c r="D122" s="22"/>
    </row>
    <row r="123" spans="1:5" s="3" customFormat="1" ht="19.5" customHeight="1" x14ac:dyDescent="0.35">
      <c r="A123" s="40"/>
      <c r="B123" s="44" t="s">
        <v>22</v>
      </c>
      <c r="C123" s="41">
        <f>C121+C122</f>
        <v>794844225</v>
      </c>
      <c r="D123" s="21"/>
    </row>
    <row r="124" spans="1:5" s="3" customFormat="1" ht="23.1" customHeight="1" x14ac:dyDescent="0.35">
      <c r="A124" s="40"/>
      <c r="B124" s="40" t="s">
        <v>23</v>
      </c>
      <c r="C124" s="41"/>
      <c r="D124" s="21"/>
    </row>
    <row r="125" spans="1:5" s="1" customFormat="1" ht="23.1" customHeight="1" x14ac:dyDescent="0.35">
      <c r="A125" s="35">
        <v>1</v>
      </c>
      <c r="B125" s="35" t="s">
        <v>24</v>
      </c>
      <c r="C125" s="42">
        <f>C123</f>
        <v>794844225</v>
      </c>
      <c r="D125" s="22"/>
    </row>
    <row r="126" spans="1:5" s="16" customFormat="1" ht="23.1" customHeight="1" x14ac:dyDescent="0.35">
      <c r="A126" s="51" t="s">
        <v>5</v>
      </c>
      <c r="B126" s="51" t="s">
        <v>33</v>
      </c>
      <c r="C126" s="52"/>
      <c r="D126" s="28"/>
    </row>
    <row r="127" spans="1:5" s="11" customFormat="1" ht="23.1" customHeight="1" x14ac:dyDescent="0.3">
      <c r="A127" s="31">
        <v>1</v>
      </c>
      <c r="B127" s="31" t="s">
        <v>25</v>
      </c>
      <c r="C127" s="32"/>
      <c r="D127" s="18"/>
    </row>
    <row r="128" spans="1:5" s="3" customFormat="1" ht="23.1" customHeight="1" x14ac:dyDescent="0.35">
      <c r="A128" s="40"/>
      <c r="B128" s="40" t="s">
        <v>7</v>
      </c>
      <c r="C128" s="41"/>
      <c r="D128" s="21"/>
    </row>
    <row r="129" spans="1:5" s="1" customFormat="1" ht="23.1" customHeight="1" x14ac:dyDescent="0.35">
      <c r="A129" s="35" t="s">
        <v>12</v>
      </c>
      <c r="B129" s="35" t="s">
        <v>75</v>
      </c>
      <c r="C129" s="42">
        <v>64389800</v>
      </c>
      <c r="D129" s="22"/>
    </row>
    <row r="130" spans="1:5" s="92" customFormat="1" ht="36.75" customHeight="1" x14ac:dyDescent="0.3">
      <c r="A130" s="38" t="s">
        <v>17</v>
      </c>
      <c r="B130" s="37" t="s">
        <v>26</v>
      </c>
      <c r="C130" s="43">
        <v>10000000</v>
      </c>
      <c r="D130" s="23"/>
    </row>
    <row r="131" spans="1:5" s="1" customFormat="1" ht="24.9" customHeight="1" x14ac:dyDescent="0.35">
      <c r="A131" s="35" t="s">
        <v>18</v>
      </c>
      <c r="B131" s="35" t="s">
        <v>41</v>
      </c>
      <c r="C131" s="42">
        <v>2500000</v>
      </c>
      <c r="D131" s="22"/>
    </row>
    <row r="132" spans="1:5" s="3" customFormat="1" ht="21" customHeight="1" x14ac:dyDescent="0.35">
      <c r="A132" s="40"/>
      <c r="B132" s="56" t="s">
        <v>8</v>
      </c>
      <c r="C132" s="41">
        <f>C129+C130+C131</f>
        <v>76889800</v>
      </c>
      <c r="D132" s="21"/>
    </row>
    <row r="133" spans="1:5" s="3" customFormat="1" ht="60.75" customHeight="1" x14ac:dyDescent="0.35">
      <c r="A133" s="40"/>
      <c r="B133" s="46" t="s">
        <v>84</v>
      </c>
      <c r="C133" s="41"/>
      <c r="D133" s="21"/>
    </row>
    <row r="134" spans="1:5" s="3" customFormat="1" ht="18" x14ac:dyDescent="0.35">
      <c r="A134" s="40"/>
      <c r="B134" s="45" t="s">
        <v>82</v>
      </c>
      <c r="C134" s="71">
        <v>89800</v>
      </c>
      <c r="D134" s="21"/>
    </row>
    <row r="135" spans="1:5" s="1" customFormat="1" ht="23.1" customHeight="1" x14ac:dyDescent="0.35">
      <c r="A135" s="35"/>
      <c r="B135" s="35" t="s">
        <v>83</v>
      </c>
      <c r="C135" s="42">
        <f>1335*60000</f>
        <v>80100000</v>
      </c>
      <c r="D135" s="22"/>
      <c r="E135" s="12"/>
    </row>
    <row r="136" spans="1:5" s="3" customFormat="1" ht="23.1" customHeight="1" x14ac:dyDescent="0.35">
      <c r="A136" s="40"/>
      <c r="B136" s="56" t="s">
        <v>10</v>
      </c>
      <c r="C136" s="41">
        <f>C135+C134</f>
        <v>80189800</v>
      </c>
      <c r="D136" s="21"/>
    </row>
    <row r="137" spans="1:5" s="94" customFormat="1" ht="19.5" customHeight="1" x14ac:dyDescent="0.3">
      <c r="A137" s="106">
        <v>2</v>
      </c>
      <c r="B137" s="106" t="s">
        <v>35</v>
      </c>
      <c r="C137" s="107"/>
      <c r="D137" s="93"/>
    </row>
    <row r="138" spans="1:5" s="96" customFormat="1" ht="18" customHeight="1" x14ac:dyDescent="0.35">
      <c r="A138" s="108"/>
      <c r="B138" s="108" t="s">
        <v>7</v>
      </c>
      <c r="C138" s="109"/>
      <c r="D138" s="95"/>
    </row>
    <row r="139" spans="1:5" s="126" customFormat="1" ht="42" customHeight="1" x14ac:dyDescent="0.3">
      <c r="A139" s="122">
        <v>1</v>
      </c>
      <c r="B139" s="100" t="s">
        <v>164</v>
      </c>
      <c r="C139" s="127">
        <v>300000</v>
      </c>
      <c r="D139" s="125"/>
    </row>
    <row r="140" spans="1:5" s="126" customFormat="1" ht="57" customHeight="1" x14ac:dyDescent="0.3">
      <c r="A140" s="124">
        <v>2</v>
      </c>
      <c r="B140" s="97" t="s">
        <v>154</v>
      </c>
      <c r="C140" s="128">
        <v>720000</v>
      </c>
      <c r="D140" s="125"/>
    </row>
    <row r="141" spans="1:5" s="126" customFormat="1" ht="24.75" customHeight="1" x14ac:dyDescent="0.3">
      <c r="A141" s="135">
        <v>3</v>
      </c>
      <c r="B141" s="98" t="s">
        <v>106</v>
      </c>
      <c r="C141" s="138" t="s">
        <v>155</v>
      </c>
      <c r="D141" s="125"/>
    </row>
    <row r="142" spans="1:5" s="126" customFormat="1" ht="24" customHeight="1" x14ac:dyDescent="0.3">
      <c r="A142" s="136"/>
      <c r="B142" s="99" t="s">
        <v>107</v>
      </c>
      <c r="C142" s="139"/>
      <c r="D142" s="125"/>
    </row>
    <row r="143" spans="1:5" s="126" customFormat="1" ht="24" customHeight="1" x14ac:dyDescent="0.3">
      <c r="A143" s="136"/>
      <c r="B143" s="99" t="s">
        <v>108</v>
      </c>
      <c r="C143" s="139"/>
      <c r="D143" s="125"/>
    </row>
    <row r="144" spans="1:5" s="126" customFormat="1" ht="25.5" customHeight="1" x14ac:dyDescent="0.3">
      <c r="A144" s="137"/>
      <c r="B144" s="99" t="s">
        <v>109</v>
      </c>
      <c r="C144" s="140"/>
      <c r="D144" s="125"/>
    </row>
    <row r="145" spans="1:4" s="126" customFormat="1" ht="49.5" customHeight="1" x14ac:dyDescent="0.3">
      <c r="A145" s="122">
        <v>4</v>
      </c>
      <c r="B145" s="100" t="s">
        <v>110</v>
      </c>
      <c r="C145" s="129" t="s">
        <v>57</v>
      </c>
      <c r="D145" s="125"/>
    </row>
    <row r="146" spans="1:4" s="126" customFormat="1" ht="64.5" customHeight="1" x14ac:dyDescent="0.3">
      <c r="A146" s="122">
        <v>5</v>
      </c>
      <c r="B146" s="100" t="s">
        <v>111</v>
      </c>
      <c r="C146" s="129" t="s">
        <v>156</v>
      </c>
      <c r="D146" s="125"/>
    </row>
    <row r="147" spans="1:4" s="126" customFormat="1" ht="83.25" customHeight="1" x14ac:dyDescent="0.3">
      <c r="A147" s="122">
        <v>6</v>
      </c>
      <c r="B147" s="100" t="s">
        <v>165</v>
      </c>
      <c r="C147" s="129" t="s">
        <v>157</v>
      </c>
      <c r="D147" s="125"/>
    </row>
    <row r="148" spans="1:4" s="126" customFormat="1" ht="24.75" customHeight="1" x14ac:dyDescent="0.3">
      <c r="A148" s="141">
        <v>7</v>
      </c>
      <c r="B148" s="101" t="s">
        <v>52</v>
      </c>
      <c r="C148" s="142">
        <v>780000</v>
      </c>
      <c r="D148" s="125"/>
    </row>
    <row r="149" spans="1:4" s="126" customFormat="1" ht="23.25" customHeight="1" x14ac:dyDescent="0.3">
      <c r="A149" s="141"/>
      <c r="B149" s="102" t="s">
        <v>112</v>
      </c>
      <c r="C149" s="142"/>
      <c r="D149" s="125"/>
    </row>
    <row r="150" spans="1:4" s="126" customFormat="1" ht="23.25" customHeight="1" x14ac:dyDescent="0.3">
      <c r="A150" s="141"/>
      <c r="B150" s="102" t="s">
        <v>113</v>
      </c>
      <c r="C150" s="142"/>
      <c r="D150" s="125"/>
    </row>
    <row r="151" spans="1:4" s="126" customFormat="1" ht="27" customHeight="1" x14ac:dyDescent="0.3">
      <c r="A151" s="141"/>
      <c r="B151" s="102" t="s">
        <v>158</v>
      </c>
      <c r="C151" s="142"/>
      <c r="D151" s="125"/>
    </row>
    <row r="152" spans="1:4" s="126" customFormat="1" ht="23.25" customHeight="1" x14ac:dyDescent="0.3">
      <c r="A152" s="143">
        <v>8</v>
      </c>
      <c r="B152" s="101" t="s">
        <v>53</v>
      </c>
      <c r="C152" s="144" t="s">
        <v>159</v>
      </c>
      <c r="D152" s="125"/>
    </row>
    <row r="153" spans="1:4" s="126" customFormat="1" ht="23.25" customHeight="1" x14ac:dyDescent="0.3">
      <c r="A153" s="143"/>
      <c r="B153" s="102" t="s">
        <v>158</v>
      </c>
      <c r="C153" s="144"/>
      <c r="D153" s="125"/>
    </row>
    <row r="154" spans="1:4" s="126" customFormat="1" ht="24.75" customHeight="1" x14ac:dyDescent="0.3">
      <c r="A154" s="143"/>
      <c r="B154" s="102" t="s">
        <v>114</v>
      </c>
      <c r="C154" s="144"/>
      <c r="D154" s="125"/>
    </row>
    <row r="155" spans="1:4" s="126" customFormat="1" ht="26.25" customHeight="1" x14ac:dyDescent="0.3">
      <c r="A155" s="143"/>
      <c r="B155" s="103" t="s">
        <v>115</v>
      </c>
      <c r="C155" s="144"/>
      <c r="D155" s="125"/>
    </row>
    <row r="156" spans="1:4" s="126" customFormat="1" ht="27.75" customHeight="1" x14ac:dyDescent="0.3">
      <c r="A156" s="145">
        <v>9</v>
      </c>
      <c r="B156" s="101" t="s">
        <v>54</v>
      </c>
      <c r="C156" s="147">
        <v>580000</v>
      </c>
      <c r="D156" s="125"/>
    </row>
    <row r="157" spans="1:4" s="126" customFormat="1" ht="27.75" customHeight="1" x14ac:dyDescent="0.3">
      <c r="A157" s="146"/>
      <c r="B157" s="102" t="s">
        <v>158</v>
      </c>
      <c r="C157" s="148"/>
      <c r="D157" s="125"/>
    </row>
    <row r="158" spans="1:4" s="126" customFormat="1" ht="22.5" customHeight="1" x14ac:dyDescent="0.3">
      <c r="A158" s="135">
        <v>10</v>
      </c>
      <c r="B158" s="101" t="s">
        <v>116</v>
      </c>
      <c r="C158" s="149">
        <v>1630000</v>
      </c>
      <c r="D158" s="125"/>
    </row>
    <row r="159" spans="1:4" s="126" customFormat="1" ht="24" customHeight="1" x14ac:dyDescent="0.3">
      <c r="A159" s="136"/>
      <c r="B159" s="102" t="s">
        <v>158</v>
      </c>
      <c r="C159" s="150"/>
      <c r="D159" s="125"/>
    </row>
    <row r="160" spans="1:4" s="126" customFormat="1" ht="25.5" customHeight="1" x14ac:dyDescent="0.3">
      <c r="A160" s="136"/>
      <c r="B160" s="104" t="s">
        <v>117</v>
      </c>
      <c r="C160" s="150"/>
      <c r="D160" s="125"/>
    </row>
    <row r="161" spans="1:4" s="126" customFormat="1" ht="24.75" customHeight="1" x14ac:dyDescent="0.3">
      <c r="A161" s="136"/>
      <c r="B161" s="123" t="s">
        <v>118</v>
      </c>
      <c r="C161" s="150"/>
      <c r="D161" s="125"/>
    </row>
    <row r="162" spans="1:4" s="126" customFormat="1" ht="22.5" customHeight="1" x14ac:dyDescent="0.3">
      <c r="A162" s="136"/>
      <c r="B162" s="123" t="s">
        <v>119</v>
      </c>
      <c r="C162" s="150"/>
      <c r="D162" s="125"/>
    </row>
    <row r="163" spans="1:4" s="126" customFormat="1" ht="24" customHeight="1" x14ac:dyDescent="0.3">
      <c r="A163" s="136"/>
      <c r="B163" s="123" t="s">
        <v>120</v>
      </c>
      <c r="C163" s="150"/>
      <c r="D163" s="125"/>
    </row>
    <row r="164" spans="1:4" s="126" customFormat="1" ht="22.5" customHeight="1" x14ac:dyDescent="0.3">
      <c r="A164" s="136"/>
      <c r="B164" s="123" t="s">
        <v>121</v>
      </c>
      <c r="C164" s="150"/>
      <c r="D164" s="125"/>
    </row>
    <row r="165" spans="1:4" s="126" customFormat="1" ht="24.75" customHeight="1" x14ac:dyDescent="0.3">
      <c r="A165" s="137"/>
      <c r="B165" s="123" t="s">
        <v>122</v>
      </c>
      <c r="C165" s="151"/>
      <c r="D165" s="125"/>
    </row>
    <row r="166" spans="1:4" s="126" customFormat="1" ht="38.25" customHeight="1" x14ac:dyDescent="0.3">
      <c r="A166" s="143">
        <v>11</v>
      </c>
      <c r="B166" s="101" t="s">
        <v>123</v>
      </c>
      <c r="C166" s="144">
        <v>980000</v>
      </c>
      <c r="D166" s="125"/>
    </row>
    <row r="167" spans="1:4" s="126" customFormat="1" ht="30.75" customHeight="1" x14ac:dyDescent="0.3">
      <c r="A167" s="143"/>
      <c r="B167" s="102" t="s">
        <v>158</v>
      </c>
      <c r="C167" s="144"/>
      <c r="D167" s="125"/>
    </row>
    <row r="168" spans="1:4" s="126" customFormat="1" ht="29.25" customHeight="1" x14ac:dyDescent="0.3">
      <c r="A168" s="143"/>
      <c r="B168" s="105" t="s">
        <v>124</v>
      </c>
      <c r="C168" s="144"/>
      <c r="D168" s="125"/>
    </row>
    <row r="169" spans="1:4" s="126" customFormat="1" ht="27.75" customHeight="1" x14ac:dyDescent="0.3">
      <c r="A169" s="135">
        <v>12</v>
      </c>
      <c r="B169" s="101" t="s">
        <v>125</v>
      </c>
      <c r="C169" s="149">
        <v>580000</v>
      </c>
      <c r="D169" s="125"/>
    </row>
    <row r="170" spans="1:4" s="126" customFormat="1" ht="22.5" customHeight="1" x14ac:dyDescent="0.3">
      <c r="A170" s="136"/>
      <c r="B170" s="102" t="s">
        <v>158</v>
      </c>
      <c r="C170" s="150"/>
      <c r="D170" s="125"/>
    </row>
    <row r="171" spans="1:4" s="126" customFormat="1" ht="26.25" customHeight="1" x14ac:dyDescent="0.3">
      <c r="A171" s="143">
        <v>13</v>
      </c>
      <c r="B171" s="101" t="s">
        <v>58</v>
      </c>
      <c r="C171" s="144">
        <v>880000</v>
      </c>
      <c r="D171" s="125"/>
    </row>
    <row r="172" spans="1:4" s="126" customFormat="1" ht="27.75" customHeight="1" x14ac:dyDescent="0.3">
      <c r="A172" s="143"/>
      <c r="B172" s="102" t="s">
        <v>158</v>
      </c>
      <c r="C172" s="144"/>
      <c r="D172" s="125"/>
    </row>
    <row r="173" spans="1:4" s="126" customFormat="1" ht="29.25" customHeight="1" x14ac:dyDescent="0.3">
      <c r="A173" s="143"/>
      <c r="B173" s="102" t="s">
        <v>126</v>
      </c>
      <c r="C173" s="144"/>
      <c r="D173" s="125"/>
    </row>
    <row r="174" spans="1:4" s="126" customFormat="1" ht="48" customHeight="1" x14ac:dyDescent="0.3">
      <c r="A174" s="135">
        <v>14</v>
      </c>
      <c r="B174" s="101" t="s">
        <v>160</v>
      </c>
      <c r="C174" s="149" t="s">
        <v>161</v>
      </c>
      <c r="D174" s="125"/>
    </row>
    <row r="175" spans="1:4" s="126" customFormat="1" ht="23.1" customHeight="1" x14ac:dyDescent="0.3">
      <c r="A175" s="136"/>
      <c r="B175" s="102" t="s">
        <v>127</v>
      </c>
      <c r="C175" s="150"/>
      <c r="D175" s="110"/>
    </row>
    <row r="176" spans="1:4" s="126" customFormat="1" ht="27.75" customHeight="1" x14ac:dyDescent="0.3">
      <c r="A176" s="136"/>
      <c r="B176" s="102" t="s">
        <v>128</v>
      </c>
      <c r="C176" s="150"/>
      <c r="D176" s="110"/>
    </row>
    <row r="177" spans="1:4" s="126" customFormat="1" ht="39.75" customHeight="1" x14ac:dyDescent="0.3">
      <c r="A177" s="137"/>
      <c r="B177" s="103" t="s">
        <v>129</v>
      </c>
      <c r="C177" s="151"/>
      <c r="D177" s="110"/>
    </row>
    <row r="178" spans="1:4" s="126" customFormat="1" ht="27" customHeight="1" x14ac:dyDescent="0.3">
      <c r="A178" s="90">
        <v>15</v>
      </c>
      <c r="B178" s="100" t="s">
        <v>162</v>
      </c>
      <c r="C178" s="130">
        <v>580000</v>
      </c>
      <c r="D178" s="110"/>
    </row>
    <row r="179" spans="1:4" s="126" customFormat="1" ht="27.75" customHeight="1" x14ac:dyDescent="0.3">
      <c r="A179" s="90">
        <v>16</v>
      </c>
      <c r="B179" s="100" t="s">
        <v>130</v>
      </c>
      <c r="C179" s="131" t="s">
        <v>163</v>
      </c>
      <c r="D179" s="110"/>
    </row>
    <row r="180" spans="1:4" s="126" customFormat="1" ht="57" customHeight="1" x14ac:dyDescent="0.3">
      <c r="A180" s="90">
        <v>17</v>
      </c>
      <c r="B180" s="100" t="s">
        <v>55</v>
      </c>
      <c r="C180" s="131">
        <v>7742600</v>
      </c>
      <c r="D180" s="110"/>
    </row>
    <row r="181" spans="1:4" s="96" customFormat="1" ht="21" customHeight="1" x14ac:dyDescent="0.35">
      <c r="A181" s="111"/>
      <c r="B181" s="112" t="s">
        <v>8</v>
      </c>
      <c r="C181" s="113">
        <v>28440000</v>
      </c>
      <c r="D181" s="110"/>
    </row>
    <row r="182" spans="1:4" s="96" customFormat="1" ht="23.1" customHeight="1" x14ac:dyDescent="0.35">
      <c r="A182" s="114"/>
      <c r="B182" s="115" t="s">
        <v>65</v>
      </c>
      <c r="C182" s="116"/>
      <c r="D182" s="95"/>
    </row>
    <row r="183" spans="1:4" s="120" customFormat="1" ht="23.1" customHeight="1" x14ac:dyDescent="0.35">
      <c r="A183" s="117"/>
      <c r="B183" s="117" t="s">
        <v>166</v>
      </c>
      <c r="C183" s="118">
        <f>474*60000</f>
        <v>28440000</v>
      </c>
      <c r="D183" s="119"/>
    </row>
    <row r="184" spans="1:4" s="96" customFormat="1" ht="23.1" customHeight="1" x14ac:dyDescent="0.35">
      <c r="A184" s="114"/>
      <c r="B184" s="121" t="s">
        <v>10</v>
      </c>
      <c r="C184" s="116">
        <f>C183</f>
        <v>28440000</v>
      </c>
      <c r="D184" s="95"/>
    </row>
    <row r="185" spans="1:4" s="11" customFormat="1" ht="23.1" customHeight="1" x14ac:dyDescent="0.3">
      <c r="A185" s="31"/>
      <c r="B185" s="31" t="s">
        <v>43</v>
      </c>
      <c r="C185" s="32"/>
      <c r="D185" s="18"/>
    </row>
    <row r="186" spans="1:4" s="11" customFormat="1" ht="23.1" customHeight="1" x14ac:dyDescent="0.3">
      <c r="A186" s="31">
        <v>1</v>
      </c>
      <c r="B186" s="31" t="s">
        <v>19</v>
      </c>
      <c r="C186" s="32"/>
      <c r="D186" s="18"/>
    </row>
    <row r="187" spans="1:4" s="3" customFormat="1" ht="23.1" customHeight="1" x14ac:dyDescent="0.35">
      <c r="A187" s="40"/>
      <c r="B187" s="56" t="s">
        <v>7</v>
      </c>
      <c r="C187" s="41"/>
      <c r="D187" s="21"/>
    </row>
    <row r="188" spans="1:4" s="1" customFormat="1" ht="36" x14ac:dyDescent="0.35">
      <c r="A188" s="35"/>
      <c r="B188" s="37" t="s">
        <v>20</v>
      </c>
      <c r="C188" s="42">
        <f>1340*100000</f>
        <v>134000000</v>
      </c>
      <c r="D188" s="22"/>
    </row>
    <row r="189" spans="1:4" s="3" customFormat="1" ht="21" customHeight="1" x14ac:dyDescent="0.35">
      <c r="A189" s="40"/>
      <c r="B189" s="44" t="s">
        <v>8</v>
      </c>
      <c r="C189" s="41">
        <f>C188</f>
        <v>134000000</v>
      </c>
      <c r="D189" s="21"/>
    </row>
    <row r="190" spans="1:4" s="3" customFormat="1" ht="21" customHeight="1" x14ac:dyDescent="0.35">
      <c r="A190" s="40"/>
      <c r="B190" s="56" t="s">
        <v>9</v>
      </c>
      <c r="C190" s="41"/>
      <c r="D190" s="21"/>
    </row>
    <row r="191" spans="1:4" s="1" customFormat="1" ht="59.25" customHeight="1" x14ac:dyDescent="0.35">
      <c r="A191" s="35"/>
      <c r="B191" s="37" t="s">
        <v>85</v>
      </c>
      <c r="C191" s="43">
        <f>1335*100000</f>
        <v>133500000</v>
      </c>
      <c r="D191" s="22"/>
    </row>
    <row r="192" spans="1:4" s="1" customFormat="1" ht="21" customHeight="1" x14ac:dyDescent="0.35">
      <c r="A192" s="35"/>
      <c r="B192" s="44" t="s">
        <v>10</v>
      </c>
      <c r="C192" s="41">
        <f>C191</f>
        <v>133500000</v>
      </c>
      <c r="D192" s="21"/>
    </row>
    <row r="193" spans="1:4" s="11" customFormat="1" ht="21" customHeight="1" x14ac:dyDescent="0.3">
      <c r="A193" s="31">
        <v>2</v>
      </c>
      <c r="B193" s="31" t="s">
        <v>36</v>
      </c>
      <c r="C193" s="32"/>
      <c r="D193" s="18"/>
    </row>
    <row r="194" spans="1:4" s="1" customFormat="1" ht="21" customHeight="1" x14ac:dyDescent="0.35">
      <c r="A194" s="35"/>
      <c r="B194" s="35" t="s">
        <v>7</v>
      </c>
      <c r="C194" s="42"/>
      <c r="D194" s="22"/>
    </row>
    <row r="195" spans="1:4" s="1" customFormat="1" ht="21" customHeight="1" x14ac:dyDescent="0.35">
      <c r="A195" s="35">
        <v>1</v>
      </c>
      <c r="B195" s="35" t="s">
        <v>37</v>
      </c>
      <c r="C195" s="42"/>
      <c r="D195" s="22"/>
    </row>
    <row r="196" spans="1:4" s="3" customFormat="1" ht="21" customHeight="1" x14ac:dyDescent="0.35">
      <c r="A196" s="40"/>
      <c r="B196" s="40" t="s">
        <v>38</v>
      </c>
      <c r="C196" s="41"/>
      <c r="D196" s="21"/>
    </row>
    <row r="197" spans="1:4" s="16" customFormat="1" ht="21" customHeight="1" x14ac:dyDescent="0.35">
      <c r="A197" s="51">
        <v>3</v>
      </c>
      <c r="B197" s="51" t="s">
        <v>64</v>
      </c>
      <c r="C197" s="52"/>
      <c r="D197" s="28"/>
    </row>
    <row r="198" spans="1:4" s="16" customFormat="1" ht="21" customHeight="1" x14ac:dyDescent="0.35">
      <c r="A198" s="51"/>
      <c r="B198" s="57" t="s">
        <v>44</v>
      </c>
      <c r="C198" s="52"/>
      <c r="D198" s="28"/>
    </row>
    <row r="199" spans="1:4" s="3" customFormat="1" ht="37.5" customHeight="1" x14ac:dyDescent="0.35">
      <c r="A199" s="58"/>
      <c r="B199" s="59" t="s">
        <v>39</v>
      </c>
      <c r="C199" s="60"/>
      <c r="D199" s="21"/>
    </row>
    <row r="200" spans="1:4" s="1" customFormat="1" ht="10.5" customHeight="1" x14ac:dyDescent="0.35">
      <c r="C200" s="4"/>
      <c r="D200" s="4"/>
    </row>
    <row r="201" spans="1:4" s="1" customFormat="1" ht="18" x14ac:dyDescent="0.35">
      <c r="A201" s="133"/>
      <c r="B201" s="133"/>
      <c r="C201" s="133"/>
      <c r="D201" s="4"/>
    </row>
    <row r="202" spans="1:4" s="1" customFormat="1" ht="18" x14ac:dyDescent="0.35">
      <c r="A202" s="132"/>
      <c r="B202" s="132"/>
      <c r="C202" s="132"/>
      <c r="D202" s="4"/>
    </row>
    <row r="203" spans="1:4" s="1" customFormat="1" ht="18" x14ac:dyDescent="0.35">
      <c r="A203" s="72"/>
      <c r="B203" s="72"/>
      <c r="C203" s="72"/>
      <c r="D203" s="4"/>
    </row>
    <row r="204" spans="1:4" s="1" customFormat="1" ht="18" x14ac:dyDescent="0.35">
      <c r="A204" s="72"/>
      <c r="B204" s="72"/>
      <c r="C204" s="72"/>
      <c r="D204" s="4"/>
    </row>
    <row r="205" spans="1:4" s="1" customFormat="1" ht="18" x14ac:dyDescent="0.35">
      <c r="A205" s="72"/>
      <c r="B205" s="72"/>
      <c r="C205" s="72"/>
      <c r="D205" s="4"/>
    </row>
    <row r="206" spans="1:4" s="1" customFormat="1" ht="18" x14ac:dyDescent="0.35">
      <c r="A206" s="72"/>
      <c r="B206" s="72"/>
      <c r="C206" s="72"/>
      <c r="D206" s="4"/>
    </row>
    <row r="207" spans="1:4" s="1" customFormat="1" ht="18" x14ac:dyDescent="0.35">
      <c r="A207" s="72"/>
      <c r="B207" s="72"/>
      <c r="C207" s="72"/>
      <c r="D207" s="4"/>
    </row>
    <row r="208" spans="1:4" s="1" customFormat="1" ht="18" x14ac:dyDescent="0.35">
      <c r="A208" s="72"/>
      <c r="B208" s="72"/>
      <c r="C208" s="72"/>
      <c r="D208" s="4"/>
    </row>
    <row r="209" spans="1:4" s="1" customFormat="1" ht="18" x14ac:dyDescent="0.35">
      <c r="A209" s="72"/>
      <c r="B209" s="72"/>
      <c r="C209" s="72"/>
      <c r="D209" s="4"/>
    </row>
    <row r="210" spans="1:4" s="1" customFormat="1" ht="18" x14ac:dyDescent="0.35">
      <c r="A210" s="72"/>
      <c r="B210" s="72"/>
      <c r="C210" s="72"/>
      <c r="D210" s="4"/>
    </row>
    <row r="211" spans="1:4" s="1" customFormat="1" ht="18" x14ac:dyDescent="0.35">
      <c r="A211" s="72"/>
      <c r="B211" s="72"/>
      <c r="C211" s="72"/>
      <c r="D211" s="4"/>
    </row>
    <row r="212" spans="1:4" s="1" customFormat="1" ht="18" x14ac:dyDescent="0.35">
      <c r="A212" s="72"/>
      <c r="B212" s="72"/>
      <c r="C212" s="72"/>
      <c r="D212" s="4"/>
    </row>
    <row r="213" spans="1:4" s="1" customFormat="1" ht="18" x14ac:dyDescent="0.35">
      <c r="A213" s="72"/>
      <c r="B213" s="72"/>
      <c r="C213" s="72"/>
      <c r="D213" s="4"/>
    </row>
    <row r="214" spans="1:4" s="1" customFormat="1" ht="18" x14ac:dyDescent="0.35">
      <c r="A214" s="72"/>
      <c r="B214" s="72"/>
      <c r="C214" s="72"/>
      <c r="D214" s="4"/>
    </row>
    <row r="215" spans="1:4" s="1" customFormat="1" ht="18" x14ac:dyDescent="0.35">
      <c r="A215" s="72"/>
      <c r="B215" s="72"/>
      <c r="C215" s="72"/>
      <c r="D215" s="4"/>
    </row>
    <row r="216" spans="1:4" s="1" customFormat="1" ht="18" x14ac:dyDescent="0.35">
      <c r="A216" s="72"/>
      <c r="B216" s="72"/>
      <c r="C216" s="72"/>
      <c r="D216" s="4"/>
    </row>
    <row r="217" spans="1:4" s="1" customFormat="1" ht="18" x14ac:dyDescent="0.35">
      <c r="A217" s="72"/>
      <c r="B217" s="72"/>
      <c r="C217" s="72"/>
      <c r="D217" s="4"/>
    </row>
    <row r="218" spans="1:4" s="1" customFormat="1" ht="18" x14ac:dyDescent="0.35">
      <c r="C218" s="4"/>
      <c r="D218" s="4"/>
    </row>
    <row r="219" spans="1:4" s="1" customFormat="1" ht="18" x14ac:dyDescent="0.35">
      <c r="C219" s="4"/>
      <c r="D219" s="4"/>
    </row>
    <row r="220" spans="1:4" s="1" customFormat="1" ht="18" x14ac:dyDescent="0.35">
      <c r="C220" s="4"/>
      <c r="D220" s="4"/>
    </row>
    <row r="221" spans="1:4" s="1" customFormat="1" ht="18" x14ac:dyDescent="0.35">
      <c r="C221" s="4"/>
      <c r="D221" s="4"/>
    </row>
    <row r="222" spans="1:4" s="1" customFormat="1" ht="18" x14ac:dyDescent="0.35">
      <c r="C222" s="4"/>
      <c r="D222" s="4"/>
    </row>
    <row r="223" spans="1:4" s="1" customFormat="1" ht="18" x14ac:dyDescent="0.35">
      <c r="C223" s="4"/>
      <c r="D223" s="4"/>
    </row>
    <row r="224" spans="1:4" s="1" customFormat="1" ht="18" x14ac:dyDescent="0.35">
      <c r="C224" s="4"/>
      <c r="D224" s="4"/>
    </row>
    <row r="225" spans="3:4" s="1" customFormat="1" ht="18" x14ac:dyDescent="0.35">
      <c r="C225" s="4"/>
      <c r="D225" s="4"/>
    </row>
    <row r="226" spans="3:4" s="1" customFormat="1" ht="18" x14ac:dyDescent="0.35">
      <c r="C226" s="4"/>
      <c r="D226" s="4"/>
    </row>
    <row r="227" spans="3:4" s="1" customFormat="1" ht="18" x14ac:dyDescent="0.35">
      <c r="C227" s="4"/>
      <c r="D227" s="4"/>
    </row>
    <row r="228" spans="3:4" s="1" customFormat="1" ht="18" x14ac:dyDescent="0.35">
      <c r="C228" s="4"/>
      <c r="D228" s="4"/>
    </row>
    <row r="229" spans="3:4" s="1" customFormat="1" ht="18" x14ac:dyDescent="0.35">
      <c r="C229" s="4"/>
      <c r="D229" s="4"/>
    </row>
    <row r="230" spans="3:4" s="1" customFormat="1" ht="18" x14ac:dyDescent="0.35">
      <c r="C230" s="4"/>
      <c r="D230" s="4"/>
    </row>
    <row r="231" spans="3:4" s="1" customFormat="1" ht="18" x14ac:dyDescent="0.35">
      <c r="C231" s="4"/>
      <c r="D231" s="4"/>
    </row>
    <row r="232" spans="3:4" s="1" customFormat="1" ht="18" x14ac:dyDescent="0.35">
      <c r="C232" s="4"/>
      <c r="D232" s="4"/>
    </row>
    <row r="233" spans="3:4" s="1" customFormat="1" ht="18" x14ac:dyDescent="0.35">
      <c r="C233" s="4"/>
      <c r="D233" s="4"/>
    </row>
    <row r="234" spans="3:4" s="1" customFormat="1" ht="18" x14ac:dyDescent="0.35">
      <c r="C234" s="4"/>
      <c r="D234" s="4"/>
    </row>
    <row r="235" spans="3:4" s="1" customFormat="1" ht="18" x14ac:dyDescent="0.35">
      <c r="C235" s="4"/>
      <c r="D235" s="4"/>
    </row>
    <row r="236" spans="3:4" s="1" customFormat="1" ht="18" x14ac:dyDescent="0.35">
      <c r="C236" s="4"/>
      <c r="D236" s="4"/>
    </row>
    <row r="237" spans="3:4" s="1" customFormat="1" ht="18" x14ac:dyDescent="0.35">
      <c r="C237" s="4"/>
      <c r="D237" s="4"/>
    </row>
    <row r="238" spans="3:4" s="1" customFormat="1" ht="18" x14ac:dyDescent="0.35">
      <c r="C238" s="4"/>
      <c r="D238" s="4"/>
    </row>
    <row r="239" spans="3:4" s="1" customFormat="1" ht="18" x14ac:dyDescent="0.35">
      <c r="C239" s="4"/>
      <c r="D239" s="4"/>
    </row>
    <row r="240" spans="3:4" s="1" customFormat="1" ht="18" x14ac:dyDescent="0.35">
      <c r="C240" s="4"/>
      <c r="D240" s="4"/>
    </row>
    <row r="241" spans="1:5" s="1" customFormat="1" ht="18" x14ac:dyDescent="0.35">
      <c r="C241" s="4"/>
      <c r="D241" s="4"/>
    </row>
    <row r="242" spans="1:5" s="1" customFormat="1" ht="18" x14ac:dyDescent="0.35">
      <c r="C242" s="4"/>
      <c r="D242" s="4"/>
    </row>
    <row r="243" spans="1:5" s="1" customFormat="1" ht="18" x14ac:dyDescent="0.35">
      <c r="C243" s="4"/>
      <c r="D243" s="4"/>
    </row>
    <row r="244" spans="1:5" s="1" customFormat="1" ht="18" x14ac:dyDescent="0.35">
      <c r="C244" s="4"/>
      <c r="D244" s="4"/>
    </row>
    <row r="245" spans="1:5" s="11" customFormat="1" ht="23.1" customHeight="1" x14ac:dyDescent="0.3">
      <c r="A245" s="31" t="s">
        <v>5</v>
      </c>
      <c r="B245" s="31" t="s">
        <v>15</v>
      </c>
      <c r="C245" s="32"/>
      <c r="D245" s="18"/>
    </row>
    <row r="246" spans="1:5" s="2" customFormat="1" ht="23.1" customHeight="1" x14ac:dyDescent="0.3">
      <c r="A246" s="33"/>
      <c r="B246" s="33" t="s">
        <v>7</v>
      </c>
      <c r="C246" s="34"/>
      <c r="D246" s="19"/>
    </row>
    <row r="247" spans="1:5" s="1" customFormat="1" ht="23.1" customHeight="1" x14ac:dyDescent="0.35">
      <c r="A247" s="35">
        <v>1</v>
      </c>
      <c r="B247" s="35" t="s">
        <v>16</v>
      </c>
      <c r="C247" s="42">
        <f>C248+C249+C250</f>
        <v>55647000</v>
      </c>
      <c r="D247" s="22"/>
    </row>
    <row r="248" spans="1:5" s="1" customFormat="1" ht="41.25" customHeight="1" x14ac:dyDescent="0.35">
      <c r="A248" s="38" t="s">
        <v>12</v>
      </c>
      <c r="B248" s="37" t="s">
        <v>50</v>
      </c>
      <c r="C248" s="43">
        <f>54000*92*9</f>
        <v>44712000</v>
      </c>
      <c r="D248" s="23"/>
    </row>
    <row r="249" spans="1:5" s="1" customFormat="1" ht="40.5" customHeight="1" x14ac:dyDescent="0.35">
      <c r="A249" s="38" t="s">
        <v>17</v>
      </c>
      <c r="B249" s="37" t="s">
        <v>46</v>
      </c>
      <c r="C249" s="43">
        <v>7309000</v>
      </c>
      <c r="D249" s="23"/>
      <c r="E249" s="4"/>
    </row>
    <row r="250" spans="1:5" s="1" customFormat="1" ht="42" customHeight="1" x14ac:dyDescent="0.35">
      <c r="A250" s="35" t="s">
        <v>34</v>
      </c>
      <c r="B250" s="37" t="s">
        <v>56</v>
      </c>
      <c r="C250" s="43">
        <v>3626000</v>
      </c>
      <c r="D250" s="23"/>
      <c r="E250" s="4"/>
    </row>
    <row r="251" spans="1:5" s="1" customFormat="1" ht="23.1" customHeight="1" x14ac:dyDescent="0.35">
      <c r="A251" s="35">
        <v>2</v>
      </c>
      <c r="B251" s="35" t="s">
        <v>59</v>
      </c>
      <c r="C251" s="42">
        <f>1*2*100000</f>
        <v>200000</v>
      </c>
      <c r="D251" s="22"/>
      <c r="E251" s="64"/>
    </row>
    <row r="252" spans="1:5" s="1" customFormat="1" ht="23.1" customHeight="1" x14ac:dyDescent="0.35">
      <c r="A252" s="35">
        <v>3</v>
      </c>
      <c r="B252" s="35" t="s">
        <v>47</v>
      </c>
      <c r="C252" s="42">
        <v>300000</v>
      </c>
      <c r="D252" s="22"/>
    </row>
    <row r="253" spans="1:5" s="1" customFormat="1" ht="23.1" customHeight="1" x14ac:dyDescent="0.35">
      <c r="A253" s="35">
        <v>4</v>
      </c>
      <c r="B253" s="35" t="s">
        <v>48</v>
      </c>
      <c r="C253" s="42">
        <v>300000</v>
      </c>
      <c r="D253" s="22"/>
    </row>
    <row r="254" spans="1:5" s="1" customFormat="1" ht="42.75" customHeight="1" x14ac:dyDescent="0.35">
      <c r="A254" s="35">
        <v>5</v>
      </c>
      <c r="B254" s="37" t="s">
        <v>60</v>
      </c>
      <c r="C254" s="63">
        <f>1*420000</f>
        <v>420000</v>
      </c>
      <c r="D254" s="22"/>
    </row>
    <row r="255" spans="1:5" s="1" customFormat="1" ht="23.1" customHeight="1" x14ac:dyDescent="0.35">
      <c r="A255" s="35">
        <v>6</v>
      </c>
      <c r="B255" s="35" t="s">
        <v>42</v>
      </c>
      <c r="C255" s="42">
        <f>934658-420000</f>
        <v>514658</v>
      </c>
      <c r="D255" s="22"/>
    </row>
    <row r="256" spans="1:5" s="3" customFormat="1" ht="19.5" customHeight="1" x14ac:dyDescent="0.35">
      <c r="A256" s="40"/>
      <c r="B256" s="44" t="s">
        <v>8</v>
      </c>
      <c r="C256" s="41">
        <f>C247+C251+C255+C252+C253+C254</f>
        <v>57381658</v>
      </c>
      <c r="D256" s="21"/>
    </row>
    <row r="257" spans="1:5" s="3" customFormat="1" ht="20.25" customHeight="1" x14ac:dyDescent="0.35">
      <c r="A257" s="40"/>
      <c r="B257" s="40" t="s">
        <v>9</v>
      </c>
      <c r="C257" s="41"/>
      <c r="D257" s="21"/>
    </row>
    <row r="258" spans="1:5" s="9" customFormat="1" ht="23.1" customHeight="1" x14ac:dyDescent="0.35">
      <c r="A258" s="45"/>
      <c r="B258" s="45" t="s">
        <v>45</v>
      </c>
      <c r="C258" s="36">
        <v>60658</v>
      </c>
      <c r="D258" s="20"/>
    </row>
    <row r="259" spans="1:5" s="1" customFormat="1" ht="23.1" customHeight="1" x14ac:dyDescent="0.35">
      <c r="A259" s="35"/>
      <c r="B259" s="35" t="s">
        <v>49</v>
      </c>
      <c r="C259" s="42">
        <f>579*11000*9</f>
        <v>57321000</v>
      </c>
      <c r="D259" s="22"/>
      <c r="E259" s="12"/>
    </row>
    <row r="260" spans="1:5" s="3" customFormat="1" ht="18.75" customHeight="1" x14ac:dyDescent="0.35">
      <c r="A260" s="40"/>
      <c r="B260" s="44" t="s">
        <v>10</v>
      </c>
      <c r="C260" s="41">
        <f>C258+C259</f>
        <v>57381658</v>
      </c>
      <c r="D260" s="21"/>
    </row>
    <row r="261" spans="1:5" s="1" customFormat="1" ht="18" x14ac:dyDescent="0.35">
      <c r="C261" s="4"/>
      <c r="D261" s="4"/>
    </row>
    <row r="262" spans="1:5" s="1" customFormat="1" ht="18" x14ac:dyDescent="0.35">
      <c r="C262" s="4"/>
      <c r="D262" s="4"/>
    </row>
    <row r="263" spans="1:5" s="1" customFormat="1" ht="18" x14ac:dyDescent="0.35">
      <c r="C263" s="4"/>
      <c r="D263" s="4"/>
    </row>
    <row r="264" spans="1:5" s="1" customFormat="1" ht="18" x14ac:dyDescent="0.35">
      <c r="C264" s="4"/>
      <c r="D264" s="4"/>
    </row>
    <row r="265" spans="1:5" s="1" customFormat="1" ht="18" x14ac:dyDescent="0.35">
      <c r="C265" s="4"/>
      <c r="D265" s="4"/>
    </row>
    <row r="266" spans="1:5" s="1" customFormat="1" ht="18" x14ac:dyDescent="0.35">
      <c r="C266" s="4"/>
      <c r="D266" s="4"/>
    </row>
    <row r="267" spans="1:5" s="1" customFormat="1" ht="18" x14ac:dyDescent="0.35">
      <c r="C267" s="4"/>
      <c r="D267" s="4"/>
    </row>
    <row r="268" spans="1:5" s="1" customFormat="1" ht="18" x14ac:dyDescent="0.35">
      <c r="C268" s="4"/>
      <c r="D268" s="4"/>
    </row>
    <row r="269" spans="1:5" s="1" customFormat="1" ht="18" x14ac:dyDescent="0.35">
      <c r="C269" s="4"/>
      <c r="D269" s="4"/>
    </row>
    <row r="270" spans="1:5" s="1" customFormat="1" ht="18" x14ac:dyDescent="0.35">
      <c r="C270" s="4"/>
      <c r="D270" s="4"/>
    </row>
    <row r="271" spans="1:5" s="1" customFormat="1" ht="18" x14ac:dyDescent="0.35">
      <c r="C271" s="4"/>
      <c r="D271" s="4"/>
    </row>
    <row r="272" spans="1:5" s="1" customFormat="1" ht="18" x14ac:dyDescent="0.35">
      <c r="C272" s="4"/>
      <c r="D272" s="4"/>
    </row>
    <row r="273" spans="3:4" s="1" customFormat="1" ht="18" x14ac:dyDescent="0.35">
      <c r="C273" s="4"/>
      <c r="D273" s="4"/>
    </row>
    <row r="274" spans="3:4" s="1" customFormat="1" ht="18" x14ac:dyDescent="0.35">
      <c r="C274" s="4"/>
      <c r="D274" s="4"/>
    </row>
    <row r="275" spans="3:4" s="1" customFormat="1" ht="18" x14ac:dyDescent="0.35">
      <c r="C275" s="4"/>
      <c r="D275" s="4"/>
    </row>
    <row r="276" spans="3:4" s="1" customFormat="1" ht="18" x14ac:dyDescent="0.35">
      <c r="C276" s="4"/>
      <c r="D276" s="4"/>
    </row>
    <row r="277" spans="3:4" s="1" customFormat="1" ht="18" x14ac:dyDescent="0.35">
      <c r="C277" s="4"/>
      <c r="D277" s="4"/>
    </row>
    <row r="278" spans="3:4" s="1" customFormat="1" ht="18" x14ac:dyDescent="0.35">
      <c r="C278" s="4"/>
      <c r="D278" s="4"/>
    </row>
    <row r="279" spans="3:4" s="1" customFormat="1" ht="18" x14ac:dyDescent="0.35">
      <c r="C279" s="4"/>
      <c r="D279" s="4"/>
    </row>
    <row r="280" spans="3:4" s="1" customFormat="1" ht="18" x14ac:dyDescent="0.35">
      <c r="C280" s="4"/>
      <c r="D280" s="4"/>
    </row>
    <row r="281" spans="3:4" s="1" customFormat="1" ht="18" x14ac:dyDescent="0.35">
      <c r="C281" s="4"/>
      <c r="D281" s="4"/>
    </row>
    <row r="282" spans="3:4" s="1" customFormat="1" ht="18" x14ac:dyDescent="0.35">
      <c r="C282" s="4"/>
      <c r="D282" s="4"/>
    </row>
    <row r="283" spans="3:4" s="1" customFormat="1" ht="18" x14ac:dyDescent="0.35">
      <c r="C283" s="4"/>
      <c r="D283" s="4"/>
    </row>
    <row r="284" spans="3:4" s="1" customFormat="1" ht="18.75" customHeight="1" x14ac:dyDescent="0.35">
      <c r="C284" s="4"/>
      <c r="D284" s="4"/>
    </row>
    <row r="285" spans="3:4" s="1" customFormat="1" ht="18" x14ac:dyDescent="0.35">
      <c r="C285" s="4"/>
      <c r="D285" s="4"/>
    </row>
    <row r="286" spans="3:4" s="1" customFormat="1" ht="18" x14ac:dyDescent="0.35">
      <c r="C286" s="4"/>
      <c r="D286" s="4"/>
    </row>
    <row r="287" spans="3:4" s="1" customFormat="1" ht="18" x14ac:dyDescent="0.35">
      <c r="C287" s="4"/>
      <c r="D287" s="4"/>
    </row>
    <row r="288" spans="3:4" s="1" customFormat="1" ht="18" x14ac:dyDescent="0.35">
      <c r="C288" s="4"/>
      <c r="D288" s="4"/>
    </row>
    <row r="289" spans="3:4" s="1" customFormat="1" ht="18" x14ac:dyDescent="0.35">
      <c r="C289" s="4"/>
      <c r="D289" s="4"/>
    </row>
    <row r="290" spans="3:4" s="1" customFormat="1" ht="18" x14ac:dyDescent="0.35">
      <c r="C290" s="4"/>
      <c r="D290" s="4"/>
    </row>
    <row r="291" spans="3:4" s="1" customFormat="1" ht="18" x14ac:dyDescent="0.35">
      <c r="C291" s="4"/>
      <c r="D291" s="4"/>
    </row>
    <row r="292" spans="3:4" s="1" customFormat="1" ht="18" x14ac:dyDescent="0.35">
      <c r="C292" s="4"/>
      <c r="D292" s="4"/>
    </row>
    <row r="293" spans="3:4" s="1" customFormat="1" ht="18" x14ac:dyDescent="0.35">
      <c r="C293" s="4"/>
      <c r="D293" s="4"/>
    </row>
    <row r="294" spans="3:4" s="1" customFormat="1" ht="18" x14ac:dyDescent="0.35">
      <c r="C294" s="4"/>
      <c r="D294" s="4"/>
    </row>
    <row r="295" spans="3:4" s="1" customFormat="1" ht="18" x14ac:dyDescent="0.35">
      <c r="C295" s="4"/>
      <c r="D295" s="4"/>
    </row>
    <row r="296" spans="3:4" s="1" customFormat="1" ht="18" x14ac:dyDescent="0.35">
      <c r="C296" s="4"/>
      <c r="D296" s="4"/>
    </row>
    <row r="297" spans="3:4" s="1" customFormat="1" ht="18" x14ac:dyDescent="0.35">
      <c r="C297" s="4"/>
      <c r="D297" s="4"/>
    </row>
    <row r="298" spans="3:4" s="1" customFormat="1" ht="18" x14ac:dyDescent="0.35">
      <c r="C298" s="4"/>
      <c r="D298" s="4"/>
    </row>
    <row r="299" spans="3:4" s="1" customFormat="1" ht="18" x14ac:dyDescent="0.35">
      <c r="C299" s="4"/>
      <c r="D299" s="4"/>
    </row>
    <row r="300" spans="3:4" s="1" customFormat="1" ht="18" x14ac:dyDescent="0.35">
      <c r="C300" s="4"/>
      <c r="D300" s="4"/>
    </row>
    <row r="301" spans="3:4" s="1" customFormat="1" ht="18" x14ac:dyDescent="0.35">
      <c r="C301" s="4"/>
      <c r="D301" s="4"/>
    </row>
    <row r="302" spans="3:4" s="1" customFormat="1" ht="18" x14ac:dyDescent="0.35">
      <c r="C302" s="4"/>
      <c r="D302" s="4"/>
    </row>
    <row r="303" spans="3:4" s="1" customFormat="1" ht="18" x14ac:dyDescent="0.35">
      <c r="C303" s="4"/>
      <c r="D303" s="4"/>
    </row>
    <row r="304" spans="3:4" s="1" customFormat="1" ht="18" x14ac:dyDescent="0.35">
      <c r="C304" s="4"/>
      <c r="D304" s="4"/>
    </row>
    <row r="305" spans="3:4" s="1" customFormat="1" ht="18" x14ac:dyDescent="0.35">
      <c r="C305" s="4"/>
      <c r="D305" s="4"/>
    </row>
    <row r="306" spans="3:4" s="1" customFormat="1" ht="18" x14ac:dyDescent="0.35">
      <c r="C306" s="4"/>
      <c r="D306" s="4"/>
    </row>
    <row r="307" spans="3:4" s="1" customFormat="1" ht="18" x14ac:dyDescent="0.35">
      <c r="C307" s="4"/>
      <c r="D307" s="4"/>
    </row>
    <row r="308" spans="3:4" s="1" customFormat="1" ht="18" x14ac:dyDescent="0.35">
      <c r="C308" s="4"/>
      <c r="D308" s="4"/>
    </row>
    <row r="309" spans="3:4" s="1" customFormat="1" ht="18" x14ac:dyDescent="0.35">
      <c r="C309" s="4"/>
      <c r="D309" s="4"/>
    </row>
    <row r="310" spans="3:4" s="1" customFormat="1" ht="18" x14ac:dyDescent="0.35">
      <c r="C310" s="4"/>
      <c r="D310" s="4"/>
    </row>
    <row r="311" spans="3:4" s="1" customFormat="1" ht="18" x14ac:dyDescent="0.35">
      <c r="C311" s="4"/>
      <c r="D311" s="4"/>
    </row>
    <row r="312" spans="3:4" s="1" customFormat="1" ht="18" x14ac:dyDescent="0.35">
      <c r="C312" s="4"/>
      <c r="D312" s="4"/>
    </row>
    <row r="313" spans="3:4" s="1" customFormat="1" ht="18" x14ac:dyDescent="0.35">
      <c r="C313" s="4"/>
      <c r="D313" s="4"/>
    </row>
    <row r="314" spans="3:4" s="1" customFormat="1" ht="18" x14ac:dyDescent="0.35">
      <c r="C314" s="4"/>
      <c r="D314" s="4"/>
    </row>
    <row r="315" spans="3:4" s="1" customFormat="1" ht="18" x14ac:dyDescent="0.35">
      <c r="C315" s="4"/>
      <c r="D315" s="4"/>
    </row>
    <row r="316" spans="3:4" s="1" customFormat="1" ht="18" x14ac:dyDescent="0.35">
      <c r="C316" s="4"/>
      <c r="D316" s="4"/>
    </row>
    <row r="317" spans="3:4" s="1" customFormat="1" ht="18" x14ac:dyDescent="0.35">
      <c r="C317" s="4"/>
      <c r="D317" s="4"/>
    </row>
    <row r="318" spans="3:4" s="1" customFormat="1" ht="18" x14ac:dyDescent="0.35">
      <c r="C318" s="4"/>
      <c r="D318" s="4"/>
    </row>
    <row r="319" spans="3:4" s="1" customFormat="1" ht="18" x14ac:dyDescent="0.35">
      <c r="C319" s="4"/>
      <c r="D319" s="4"/>
    </row>
    <row r="320" spans="3:4" s="1" customFormat="1" ht="18" x14ac:dyDescent="0.35">
      <c r="C320" s="4"/>
      <c r="D320" s="4"/>
    </row>
    <row r="321" spans="3:4" s="1" customFormat="1" ht="18" x14ac:dyDescent="0.35">
      <c r="C321" s="4"/>
      <c r="D321" s="4"/>
    </row>
    <row r="322" spans="3:4" s="1" customFormat="1" ht="18" x14ac:dyDescent="0.35">
      <c r="C322" s="4"/>
      <c r="D322" s="4"/>
    </row>
    <row r="323" spans="3:4" s="1" customFormat="1" ht="18" x14ac:dyDescent="0.35">
      <c r="C323" s="4"/>
      <c r="D323" s="4"/>
    </row>
    <row r="324" spans="3:4" s="1" customFormat="1" ht="18" x14ac:dyDescent="0.35">
      <c r="C324" s="4"/>
      <c r="D324" s="4"/>
    </row>
    <row r="325" spans="3:4" s="1" customFormat="1" ht="18" x14ac:dyDescent="0.35">
      <c r="C325" s="4"/>
      <c r="D325" s="4"/>
    </row>
    <row r="326" spans="3:4" s="1" customFormat="1" ht="18" x14ac:dyDescent="0.35">
      <c r="C326" s="4"/>
      <c r="D326" s="4"/>
    </row>
    <row r="327" spans="3:4" s="1" customFormat="1" ht="18" x14ac:dyDescent="0.35">
      <c r="C327" s="4"/>
      <c r="D327" s="4"/>
    </row>
  </sheetData>
  <mergeCells count="23">
    <mergeCell ref="A174:A177"/>
    <mergeCell ref="C174:C177"/>
    <mergeCell ref="C166:C168"/>
    <mergeCell ref="A169:A170"/>
    <mergeCell ref="C169:C170"/>
    <mergeCell ref="A171:A173"/>
    <mergeCell ref="C171:C173"/>
    <mergeCell ref="A202:C202"/>
    <mergeCell ref="A201:C201"/>
    <mergeCell ref="A4:C4"/>
    <mergeCell ref="A5:C5"/>
    <mergeCell ref="A6:C6"/>
    <mergeCell ref="A141:A144"/>
    <mergeCell ref="C141:C144"/>
    <mergeCell ref="A148:A151"/>
    <mergeCell ref="C148:C151"/>
    <mergeCell ref="A152:A155"/>
    <mergeCell ref="C152:C155"/>
    <mergeCell ref="A156:A157"/>
    <mergeCell ref="C156:C157"/>
    <mergeCell ref="A158:A165"/>
    <mergeCell ref="C158:C165"/>
    <mergeCell ref="A166:A168"/>
  </mergeCells>
  <pageMargins left="0.83" right="0.2" top="0.59" bottom="0.39" header="0.48" footer="0.4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Ban kem KH 20-21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2020-10-28T10:32:45Z</cp:lastPrinted>
  <dcterms:created xsi:type="dcterms:W3CDTF">2017-07-31T01:01:52Z</dcterms:created>
  <dcterms:modified xsi:type="dcterms:W3CDTF">2021-08-11T04:10:15Z</dcterms:modified>
</cp:coreProperties>
</file>