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rek\Desktop\"/>
    </mc:Choice>
  </mc:AlternateContent>
  <xr:revisionPtr revIDLastSave="0" documentId="13_ncr:1_{1CC427B3-B665-4251-BE7C-2E8382067751}" xr6:coauthVersionLast="46" xr6:coauthVersionMax="46" xr10:uidLastSave="{00000000-0000-0000-0000-000000000000}"/>
  <bookViews>
    <workbookView xWindow="-30770" yWindow="-230" windowWidth="21940" windowHeight="20760" xr2:uid="{EAFC28C9-6438-4E32-BEFF-58D1A83E04C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1" l="1"/>
  <c r="J35" i="1"/>
  <c r="B39" i="1"/>
  <c r="B32" i="1"/>
  <c r="B33" i="1"/>
  <c r="C32" i="1"/>
  <c r="M9" i="1"/>
  <c r="M8" i="1"/>
  <c r="O8" i="1" s="1"/>
  <c r="M7" i="1"/>
  <c r="O7" i="1" s="1"/>
  <c r="M6" i="1"/>
  <c r="O6" i="1" s="1"/>
  <c r="M5" i="1"/>
  <c r="O5" i="1" s="1"/>
  <c r="M4" i="1"/>
  <c r="O4" i="1" s="1"/>
  <c r="O9" i="1"/>
  <c r="B14" i="1"/>
  <c r="B8" i="1"/>
  <c r="B15" i="1"/>
  <c r="B5" i="1"/>
  <c r="I39" i="1"/>
  <c r="B16" i="1"/>
  <c r="C16" i="1" s="1"/>
  <c r="C15" i="1"/>
  <c r="C8" i="1"/>
  <c r="B4" i="1"/>
  <c r="C4" i="1" s="1"/>
  <c r="B3" i="1"/>
  <c r="C3" i="1" s="1"/>
  <c r="C10" i="1"/>
  <c r="C9" i="1"/>
  <c r="B22" i="1" l="1"/>
  <c r="C5" i="1"/>
  <c r="D5" i="1" s="1"/>
  <c r="E5" i="1" s="1"/>
  <c r="B23" i="1"/>
  <c r="B34" i="1"/>
  <c r="Q5" i="1"/>
  <c r="Q6" i="1"/>
  <c r="Q3" i="1"/>
  <c r="Q4" i="1"/>
  <c r="Q7" i="1"/>
  <c r="Q8" i="1"/>
  <c r="Q9" i="1"/>
  <c r="B11" i="1"/>
  <c r="C33" i="1"/>
  <c r="C14" i="1"/>
  <c r="D16" i="1" s="1"/>
  <c r="E16" i="1" s="1"/>
  <c r="D10" i="1"/>
  <c r="E10" i="1" s="1"/>
  <c r="D3" i="1"/>
  <c r="E3" i="1" s="1"/>
  <c r="B6" i="1"/>
  <c r="D8" i="1"/>
  <c r="E8" i="1" s="1"/>
  <c r="D9" i="1"/>
  <c r="E9" i="1" s="1"/>
  <c r="D4" i="1" l="1"/>
  <c r="E4" i="1" s="1"/>
  <c r="D14" i="1"/>
  <c r="E14" i="1" s="1"/>
  <c r="D15" i="1"/>
  <c r="E15" i="1" s="1"/>
  <c r="B24" i="1" s="1"/>
  <c r="J34" i="1" s="1"/>
  <c r="C34" i="1"/>
  <c r="D33" i="1" s="1"/>
  <c r="E33" i="1" s="1"/>
  <c r="B41" i="1" s="1"/>
  <c r="B40" i="1"/>
  <c r="B17" i="1"/>
  <c r="L3" i="1" l="1"/>
  <c r="M3" i="1"/>
  <c r="O3" i="1" s="1"/>
  <c r="U3" i="1" s="1"/>
  <c r="L9" i="1"/>
  <c r="N9" i="1" s="1"/>
  <c r="L5" i="1"/>
  <c r="N5" i="1" s="1"/>
  <c r="L8" i="1"/>
  <c r="N8" i="1" s="1"/>
  <c r="L7" i="1"/>
  <c r="N7" i="1" s="1"/>
  <c r="L6" i="1"/>
  <c r="N6" i="1" s="1"/>
  <c r="L4" i="1"/>
  <c r="N4" i="1" s="1"/>
  <c r="D34" i="1"/>
  <c r="E34" i="1" s="1"/>
  <c r="D32" i="1"/>
  <c r="E32" i="1" s="1"/>
  <c r="K3" i="1" l="1"/>
  <c r="I40" i="1"/>
  <c r="U9" i="1"/>
  <c r="U5" i="1"/>
  <c r="U4" i="1"/>
  <c r="U8" i="1"/>
  <c r="U6" i="1"/>
  <c r="U7" i="1"/>
  <c r="K5" i="1"/>
  <c r="R5" i="1" s="1"/>
  <c r="K4" i="1"/>
  <c r="R4" i="1" s="1"/>
  <c r="R3" i="1"/>
  <c r="K7" i="1"/>
  <c r="R7" i="1" s="1"/>
  <c r="K8" i="1"/>
  <c r="R8" i="1" s="1"/>
  <c r="K6" i="1"/>
  <c r="R6" i="1" s="1"/>
  <c r="K9" i="1"/>
  <c r="R9" i="1" s="1"/>
  <c r="S3" i="1" l="1"/>
  <c r="S9" i="1"/>
  <c r="T9" i="1" s="1"/>
  <c r="T3" i="1"/>
  <c r="S8" i="1"/>
  <c r="T8" i="1" s="1"/>
  <c r="S7" i="1"/>
  <c r="T7" i="1" s="1"/>
  <c r="S6" i="1"/>
  <c r="T6" i="1" s="1"/>
  <c r="S5" i="1"/>
  <c r="T5" i="1" s="1"/>
  <c r="S4" i="1"/>
  <c r="T4" i="1" s="1"/>
</calcChain>
</file>

<file path=xl/sharedStrings.xml><?xml version="1.0" encoding="utf-8"?>
<sst xmlns="http://schemas.openxmlformats.org/spreadsheetml/2006/main" count="89" uniqueCount="78">
  <si>
    <t>a</t>
  </si>
  <si>
    <t>b</t>
  </si>
  <si>
    <t>c</t>
  </si>
  <si>
    <t>len</t>
  </si>
  <si>
    <t>len^2</t>
  </si>
  <si>
    <t>law of cosine</t>
  </si>
  <si>
    <t>d</t>
  </si>
  <si>
    <t>e</t>
  </si>
  <si>
    <t>f</t>
  </si>
  <si>
    <t>deg</t>
  </si>
  <si>
    <t>rt tri chk</t>
  </si>
  <si>
    <t>Move the attach point for strap</t>
  </si>
  <si>
    <t>f'</t>
  </si>
  <si>
    <t>d'</t>
  </si>
  <si>
    <t>c+pully</t>
  </si>
  <si>
    <t>pully</t>
  </si>
  <si>
    <t>Magazine Frame</t>
  </si>
  <si>
    <t>Motor Strap Constants</t>
  </si>
  <si>
    <t xml:space="preserve"> </t>
  </si>
  <si>
    <t>really a function of rotation</t>
  </si>
  <si>
    <t>d = dp + Cds - th*ds</t>
  </si>
  <si>
    <t>Motor axis to top bar</t>
  </si>
  <si>
    <t>Hinge to motor axis horiz</t>
  </si>
  <si>
    <t>base</t>
  </si>
  <si>
    <t>base to hinge</t>
  </si>
  <si>
    <t>hinge to strap point</t>
  </si>
  <si>
    <t>@40deg</t>
  </si>
  <si>
    <t>Yo-yo Pot Calculations</t>
  </si>
  <si>
    <t>pot y</t>
  </si>
  <si>
    <t>pot x</t>
  </si>
  <si>
    <t>pot y top</t>
  </si>
  <si>
    <t>x translation from base f</t>
  </si>
  <si>
    <t>zero extend height</t>
  </si>
  <si>
    <t xml:space="preserve">fixed y for attachment </t>
  </si>
  <si>
    <t>f"</t>
  </si>
  <si>
    <t>e"</t>
  </si>
  <si>
    <t>d"</t>
  </si>
  <si>
    <t>E"</t>
  </si>
  <si>
    <t>D"</t>
  </si>
  <si>
    <t>F"</t>
  </si>
  <si>
    <t>pot-att-X</t>
  </si>
  <si>
    <t>pot-att-y</t>
  </si>
  <si>
    <t>relative to motor axis along c</t>
  </si>
  <si>
    <t>along c</t>
  </si>
  <si>
    <t>c"</t>
  </si>
  <si>
    <t xml:space="preserve">d" </t>
  </si>
  <si>
    <t>E</t>
  </si>
  <si>
    <t>inches</t>
  </si>
  <si>
    <t>degrees</t>
  </si>
  <si>
    <t>est</t>
  </si>
  <si>
    <t>very close to same axis</t>
  </si>
  <si>
    <t>Yo-yo Pot Constants</t>
  </si>
  <si>
    <t>Mag Ang</t>
  </si>
  <si>
    <t>L Pot</t>
  </si>
  <si>
    <t>Pot Ang</t>
  </si>
  <si>
    <t>Strap Ang</t>
  </si>
  <si>
    <t>= As +</t>
  </si>
  <si>
    <t>= Ap +</t>
  </si>
  <si>
    <t>As = strap angle  Ap = yo-yo pot angle</t>
  </si>
  <si>
    <t>L Strap</t>
  </si>
  <si>
    <t>V meas</t>
  </si>
  <si>
    <t>Kv_deg</t>
  </si>
  <si>
    <t>Kv_len</t>
  </si>
  <si>
    <t>pot len
error</t>
  </si>
  <si>
    <t>pot err
volts</t>
  </si>
  <si>
    <t>Angle Err
degrees</t>
  </si>
  <si>
    <t>inch</t>
  </si>
  <si>
    <t>degree</t>
  </si>
  <si>
    <t>volt/deg</t>
  </si>
  <si>
    <t>CosLaw
volt</t>
  </si>
  <si>
    <t>linear fit
volts</t>
  </si>
  <si>
    <t>volt/inch</t>
  </si>
  <si>
    <t>Motor
Rev</t>
  </si>
  <si>
    <t>kRevPerIn</t>
  </si>
  <si>
    <t xml:space="preserve">base to hinge,+1 because strap on bot </t>
  </si>
  <si>
    <t>+1 outside of bar, new strap point</t>
  </si>
  <si>
    <t>hinge to strap pt on bottom of sq beam</t>
  </si>
  <si>
    <t xml:space="preserve">Hinge to motor axis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</si>
</sst>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71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2" borderId="6" xfId="0" applyFill="1" applyBorder="1"/>
    <xf numFmtId="166" fontId="0" fillId="2" borderId="6" xfId="0" applyNumberFormat="1" applyFill="1" applyBorder="1"/>
    <xf numFmtId="0" fontId="0" fillId="0" borderId="0" xfId="0" applyAlignment="1">
      <alignment horizontal="center"/>
    </xf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 applyAlignment="1">
      <alignment horizontal="center" vertical="center"/>
    </xf>
    <xf numFmtId="0" fontId="0" fillId="2" borderId="10" xfId="0" applyFill="1" applyBorder="1"/>
    <xf numFmtId="0" fontId="0" fillId="2" borderId="12" xfId="0" applyFill="1" applyBorder="1"/>
    <xf numFmtId="0" fontId="0" fillId="2" borderId="13" xfId="0" applyFill="1" applyBorder="1"/>
    <xf numFmtId="0" fontId="0" fillId="2" borderId="14" xfId="0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2" fontId="0" fillId="2" borderId="11" xfId="0" applyNumberFormat="1" applyFill="1" applyBorder="1" applyAlignment="1">
      <alignment horizontal="center" vertical="center"/>
    </xf>
    <xf numFmtId="2" fontId="0" fillId="2" borderId="6" xfId="0" applyNumberFormat="1" applyFill="1" applyBorder="1"/>
    <xf numFmtId="0" fontId="0" fillId="0" borderId="0" xfId="0" quotePrefix="1"/>
    <xf numFmtId="164" fontId="0" fillId="3" borderId="6" xfId="0" applyNumberFormat="1" applyFill="1" applyBorder="1"/>
    <xf numFmtId="166" fontId="0" fillId="3" borderId="6" xfId="0" applyNumberFormat="1" applyFill="1" applyBorder="1"/>
    <xf numFmtId="0" fontId="0" fillId="3" borderId="6" xfId="0" applyFill="1" applyBorder="1"/>
    <xf numFmtId="2" fontId="0" fillId="3" borderId="6" xfId="0" applyNumberFormat="1" applyFill="1" applyBorder="1" applyAlignment="1">
      <alignment horizontal="center" vertical="center"/>
    </xf>
    <xf numFmtId="2" fontId="0" fillId="3" borderId="6" xfId="0" applyNumberFormat="1" applyFill="1" applyBorder="1"/>
    <xf numFmtId="0" fontId="0" fillId="0" borderId="0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4" borderId="6" xfId="0" applyFill="1" applyBorder="1"/>
    <xf numFmtId="0" fontId="0" fillId="4" borderId="6" xfId="0" quotePrefix="1" applyFill="1" applyBorder="1"/>
    <xf numFmtId="165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65" fontId="0" fillId="0" borderId="0" xfId="0" applyNumberFormat="1" applyAlignment="1">
      <alignment horizontal="left" indent="1"/>
    </xf>
    <xf numFmtId="0" fontId="1" fillId="0" borderId="0" xfId="0" applyFont="1" applyAlignment="1">
      <alignment horizontal="left" vertical="center" wrapText="1"/>
    </xf>
    <xf numFmtId="2" fontId="0" fillId="6" borderId="11" xfId="0" applyNumberForma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65" fontId="0" fillId="7" borderId="0" xfId="0" applyNumberFormat="1" applyFill="1"/>
    <xf numFmtId="165" fontId="0" fillId="8" borderId="0" xfId="0" applyNumberFormat="1" applyFont="1" applyFill="1" applyAlignment="1">
      <alignment horizontal="center"/>
    </xf>
    <xf numFmtId="2" fontId="0" fillId="9" borderId="6" xfId="0" applyNumberFormat="1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/>
    <xf numFmtId="164" fontId="0" fillId="0" borderId="0" xfId="0" applyNumberFormat="1" applyBorder="1"/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0" fillId="0" borderId="22" xfId="0" applyFill="1" applyBorder="1"/>
    <xf numFmtId="0" fontId="0" fillId="5" borderId="0" xfId="0" applyFill="1" applyBorder="1"/>
    <xf numFmtId="0" fontId="0" fillId="0" borderId="17" xfId="0" applyBorder="1"/>
    <xf numFmtId="0" fontId="0" fillId="0" borderId="18" xfId="0" applyBorder="1"/>
    <xf numFmtId="0" fontId="0" fillId="0" borderId="18" xfId="0" applyBorder="1" applyAlignment="1">
      <alignment horizontal="center" vertical="center"/>
    </xf>
    <xf numFmtId="0" fontId="0" fillId="5" borderId="6" xfId="0" applyFill="1" applyBorder="1"/>
    <xf numFmtId="2" fontId="0" fillId="0" borderId="0" xfId="0" applyNumberFormat="1" applyFill="1"/>
    <xf numFmtId="0" fontId="1" fillId="10" borderId="6" xfId="0" applyFont="1" applyFill="1" applyBorder="1"/>
    <xf numFmtId="2" fontId="1" fillId="10" borderId="6" xfId="0" applyNumberFormat="1" applyFont="1" applyFill="1" applyBorder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11" borderId="0" xfId="0" applyFont="1" applyFill="1"/>
    <xf numFmtId="0" fontId="0" fillId="12" borderId="6" xfId="0" applyFill="1" applyBorder="1"/>
    <xf numFmtId="0" fontId="2" fillId="13" borderId="0" xfId="0" applyFont="1" applyFill="1"/>
    <xf numFmtId="0" fontId="2" fillId="13" borderId="0" xfId="0" quotePrefix="1" applyFont="1" applyFill="1"/>
    <xf numFmtId="2" fontId="2" fillId="13" borderId="0" xfId="0" applyNumberFormat="1" applyFont="1" applyFill="1" applyAlignment="1">
      <alignment horizontal="center"/>
    </xf>
    <xf numFmtId="2" fontId="3" fillId="2" borderId="6" xfId="0" applyNumberFormat="1" applyFont="1" applyFill="1" applyBorder="1"/>
    <xf numFmtId="164" fontId="3" fillId="2" borderId="6" xfId="0" applyNumberFormat="1" applyFont="1" applyFill="1" applyBorder="1"/>
    <xf numFmtId="164" fontId="3" fillId="2" borderId="13" xfId="0" applyNumberFormat="1" applyFont="1" applyFill="1" applyBorder="1"/>
    <xf numFmtId="164" fontId="3" fillId="0" borderId="0" xfId="0" applyNumberFormat="1" applyFont="1"/>
    <xf numFmtId="164" fontId="3" fillId="2" borderId="8" xfId="0" applyNumberFormat="1" applyFont="1" applyFill="1" applyBorder="1"/>
    <xf numFmtId="0" fontId="0" fillId="11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133910413516197E-2"/>
          <c:y val="2.4299556988776009E-2"/>
          <c:w val="0.90104578401209778"/>
          <c:h val="0.83792290181736762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Sheet1!$K$2</c:f>
              <c:strCache>
                <c:ptCount val="1"/>
                <c:pt idx="0">
                  <c:v>CosLaw
volt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Sheet1!$J$3:$J$9</c:f>
              <c:numCache>
                <c:formatCode>General</c:formatCode>
                <c:ptCount val="7"/>
                <c:pt idx="0">
                  <c:v>20.7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47.3</c:v>
                </c:pt>
              </c:numCache>
            </c:numRef>
          </c:xVal>
          <c:yVal>
            <c:numRef>
              <c:f>Sheet1!$K$3:$K$9</c:f>
              <c:numCache>
                <c:formatCode>0.000</c:formatCode>
                <c:ptCount val="7"/>
                <c:pt idx="0">
                  <c:v>0.4541</c:v>
                </c:pt>
                <c:pt idx="1">
                  <c:v>0.97540878692032362</c:v>
                </c:pt>
                <c:pt idx="2">
                  <c:v>1.5930956339779638</c:v>
                </c:pt>
                <c:pt idx="3">
                  <c:v>2.2120186474476888</c:v>
                </c:pt>
                <c:pt idx="4">
                  <c:v>2.8280988766824997</c:v>
                </c:pt>
                <c:pt idx="5">
                  <c:v>3.4391044069930312</c:v>
                </c:pt>
                <c:pt idx="6">
                  <c:v>3.718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A8-47DC-8C5B-C984D5FB255C}"/>
            </c:ext>
          </c:extLst>
        </c:ser>
        <c:ser>
          <c:idx val="2"/>
          <c:order val="1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Sheet1!$J$3:$J$9</c:f>
              <c:numCache>
                <c:formatCode>General</c:formatCode>
                <c:ptCount val="7"/>
                <c:pt idx="0">
                  <c:v>20.7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47.3</c:v>
                </c:pt>
              </c:numCache>
            </c:numRef>
          </c:xVal>
          <c:yVal>
            <c:numRef>
              <c:f>Sheet1!$Q$3:$Q$9</c:f>
              <c:numCache>
                <c:formatCode>0.000</c:formatCode>
                <c:ptCount val="7"/>
                <c:pt idx="0">
                  <c:v>0.4541</c:v>
                </c:pt>
                <c:pt idx="1">
                  <c:v>0.98172293233082719</c:v>
                </c:pt>
                <c:pt idx="2">
                  <c:v>1.5952379699248123</c:v>
                </c:pt>
                <c:pt idx="3">
                  <c:v>2.2087530075187973</c:v>
                </c:pt>
                <c:pt idx="4">
                  <c:v>2.8222680451127822</c:v>
                </c:pt>
                <c:pt idx="5">
                  <c:v>3.4357830827067675</c:v>
                </c:pt>
                <c:pt idx="6">
                  <c:v>3.718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0A8-47DC-8C5B-C984D5FB25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8338760"/>
        <c:axId val="308344664"/>
      </c:scatterChart>
      <c:valAx>
        <c:axId val="308338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344664"/>
        <c:crosses val="autoZero"/>
        <c:crossBetween val="midCat"/>
      </c:valAx>
      <c:valAx>
        <c:axId val="308344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338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Pot</a:t>
            </a:r>
            <a:r>
              <a:rPr lang="en-US" baseline="0"/>
              <a:t> Len vs Strap Len</a:t>
            </a:r>
          </a:p>
        </c:rich>
      </c:tx>
      <c:layout>
        <c:manualLayout>
          <c:xMode val="edge"/>
          <c:yMode val="edge"/>
          <c:x val="0.33727077865266841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Sheet1!$N$3:$N$9</c:f>
              <c:numCache>
                <c:formatCode>0.00</c:formatCode>
                <c:ptCount val="7"/>
                <c:pt idx="0">
                  <c:v>2.4645149031196576</c:v>
                </c:pt>
                <c:pt idx="1">
                  <c:v>3.8785969400225553</c:v>
                </c:pt>
                <c:pt idx="2">
                  <c:v>5.5541103723117669</c:v>
                </c:pt>
                <c:pt idx="3">
                  <c:v>7.2329769817616363</c:v>
                </c:pt>
                <c:pt idx="4">
                  <c:v>8.9041323647326074</c:v>
                </c:pt>
                <c:pt idx="5">
                  <c:v>10.561522315829876</c:v>
                </c:pt>
                <c:pt idx="6">
                  <c:v>11.318043706102955</c:v>
                </c:pt>
              </c:numCache>
            </c:numRef>
          </c:xVal>
          <c:yVal>
            <c:numRef>
              <c:f>Sheet1!$O$3:$O$9</c:f>
              <c:numCache>
                <c:formatCode>0.00</c:formatCode>
                <c:ptCount val="7"/>
                <c:pt idx="0">
                  <c:v>6.3052803874074783</c:v>
                </c:pt>
                <c:pt idx="1">
                  <c:v>7.8136658915626116</c:v>
                </c:pt>
                <c:pt idx="2">
                  <c:v>9.5998966015707179</c:v>
                </c:pt>
                <c:pt idx="3">
                  <c:v>11.395324928020619</c:v>
                </c:pt>
                <c:pt idx="4">
                  <c:v>13.185322755063867</c:v>
                </c:pt>
                <c:pt idx="5">
                  <c:v>14.960650764430284</c:v>
                </c:pt>
                <c:pt idx="6">
                  <c:v>15.770472630491437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BC-4BFB-AA2F-6EFD584EDE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3419672"/>
        <c:axId val="313414096"/>
      </c:scatterChart>
      <c:valAx>
        <c:axId val="313419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414096"/>
        <c:crosses val="autoZero"/>
        <c:crossBetween val="midCat"/>
      </c:valAx>
      <c:valAx>
        <c:axId val="31341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419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349250</xdr:colOff>
      <xdr:row>11</xdr:row>
      <xdr:rowOff>6350</xdr:rowOff>
    </xdr:from>
    <xdr:to>
      <xdr:col>22</xdr:col>
      <xdr:colOff>82550</xdr:colOff>
      <xdr:row>28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1E626EC-B118-49B1-A2DD-F886DCEF01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508000</xdr:colOff>
      <xdr:row>30</xdr:row>
      <xdr:rowOff>31750</xdr:rowOff>
    </xdr:from>
    <xdr:to>
      <xdr:col>19</xdr:col>
      <xdr:colOff>349250</xdr:colOff>
      <xdr:row>45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485EB27-48D7-494E-9B2B-D0EA8760FD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</xdr:col>
      <xdr:colOff>476250</xdr:colOff>
      <xdr:row>40</xdr:row>
      <xdr:rowOff>44450</xdr:rowOff>
    </xdr:from>
    <xdr:to>
      <xdr:col>11</xdr:col>
      <xdr:colOff>311150</xdr:colOff>
      <xdr:row>60</xdr:row>
      <xdr:rowOff>31750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E9F488A-4B1D-4972-B49E-D451AA7ABDB6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95450" y="7626350"/>
          <a:ext cx="5543550" cy="36703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EF911-31E5-40CD-98E1-AF73587A68F6}">
  <dimension ref="A1:U42"/>
  <sheetViews>
    <sheetView tabSelected="1" workbookViewId="0">
      <selection activeCell="N3" sqref="N3:N8"/>
    </sheetView>
  </sheetViews>
  <sheetFormatPr defaultRowHeight="14.5" x14ac:dyDescent="0.35"/>
  <cols>
    <col min="4" max="4" width="11.90625" customWidth="1"/>
    <col min="5" max="5" width="8.7265625" style="2"/>
    <col min="10" max="10" width="8.7265625" style="6"/>
    <col min="12" max="13" width="8.90625" customWidth="1"/>
    <col min="14" max="14" width="6.81640625" customWidth="1"/>
    <col min="15" max="15" width="6.6328125" customWidth="1"/>
    <col min="16" max="16" width="2.26953125" customWidth="1"/>
    <col min="20" max="20" width="11" customWidth="1"/>
  </cols>
  <sheetData>
    <row r="1" spans="1:21" x14ac:dyDescent="0.35">
      <c r="A1" s="54" t="s">
        <v>16</v>
      </c>
      <c r="B1" s="55"/>
      <c r="C1" s="55"/>
      <c r="D1" s="55"/>
      <c r="E1" s="56"/>
    </row>
    <row r="2" spans="1:21" s="3" customFormat="1" ht="30" customHeight="1" x14ac:dyDescent="0.35">
      <c r="A2" s="14"/>
      <c r="B2" s="15" t="s">
        <v>3</v>
      </c>
      <c r="C2" s="15" t="s">
        <v>4</v>
      </c>
      <c r="D2" s="15" t="s">
        <v>5</v>
      </c>
      <c r="E2" s="16" t="s">
        <v>9</v>
      </c>
      <c r="I2" s="3" t="s">
        <v>60</v>
      </c>
      <c r="J2" s="3" t="s">
        <v>52</v>
      </c>
      <c r="K2" s="36" t="s">
        <v>69</v>
      </c>
      <c r="L2" s="3" t="s">
        <v>54</v>
      </c>
      <c r="M2" s="3" t="s">
        <v>55</v>
      </c>
      <c r="N2" s="3" t="s">
        <v>53</v>
      </c>
      <c r="O2" s="3" t="s">
        <v>59</v>
      </c>
      <c r="Q2" s="36" t="s">
        <v>70</v>
      </c>
      <c r="R2" s="34" t="s">
        <v>64</v>
      </c>
      <c r="S2" s="36" t="s">
        <v>63</v>
      </c>
      <c r="T2" s="36" t="s">
        <v>65</v>
      </c>
      <c r="U2" s="36" t="s">
        <v>72</v>
      </c>
    </row>
    <row r="3" spans="1:21" x14ac:dyDescent="0.35">
      <c r="A3" s="10" t="s">
        <v>0</v>
      </c>
      <c r="B3" s="61">
        <f>20.22-1.024</f>
        <v>19.195999999999998</v>
      </c>
      <c r="C3" s="66">
        <f>B3*B3</f>
        <v>368.48641599999991</v>
      </c>
      <c r="D3" s="5">
        <f>(C4+C5-C3)/(2*B4*B5)</f>
        <v>0.47102227094287291</v>
      </c>
      <c r="E3" s="17">
        <f>ACOS(D3)*180/PI()</f>
        <v>61.899325166028234</v>
      </c>
      <c r="F3" t="s">
        <v>77</v>
      </c>
      <c r="I3" s="60">
        <v>0.4541</v>
      </c>
      <c r="J3" s="70">
        <v>20.7</v>
      </c>
      <c r="K3" s="38">
        <f>$I$3 + ($I$9-$I$3)*(N3-$N$3)/($N$9 - $N$3)</f>
        <v>0.4541</v>
      </c>
      <c r="L3" s="32">
        <f>J3-$J$35</f>
        <v>6.732316933412406</v>
      </c>
      <c r="M3" s="32">
        <f>J3-$J$34</f>
        <v>15.202058130422785</v>
      </c>
      <c r="N3" s="51">
        <f>SQRT($B$39*$B$39+$B$40*$B$40-2*$B$39*$B$40*COS((L3)*PI()/180))</f>
        <v>2.4645149031196576</v>
      </c>
      <c r="O3" s="51">
        <f>SQRT($B$22*$B$22+$B$23*$B$23-2*$B$22*$B$23*COS((M3 )*PI()/180))</f>
        <v>6.3052803874074783</v>
      </c>
      <c r="Q3" s="37">
        <f>$I$39*(J3-$J$3) +$I$3</f>
        <v>0.4541</v>
      </c>
      <c r="R3" s="33">
        <f t="shared" ref="R3:R10" si="0">K3-Q3</f>
        <v>0</v>
      </c>
      <c r="S3" s="31">
        <f>$I$40*R3</f>
        <v>0</v>
      </c>
      <c r="T3" s="31">
        <f>(180/PI())*ACOS( ( $B$39^2+$B$40^2  -  (N3+S3)^2)/(2*$B$39*$B$40) ) - L3</f>
        <v>0</v>
      </c>
      <c r="U3" s="1">
        <f>(O3-$O$3)*$H$19</f>
        <v>0</v>
      </c>
    </row>
    <row r="4" spans="1:21" x14ac:dyDescent="0.35">
      <c r="A4" s="10" t="s">
        <v>1</v>
      </c>
      <c r="B4" s="61">
        <f>11.5-1.25</f>
        <v>10.25</v>
      </c>
      <c r="C4" s="66">
        <f>B4*B4</f>
        <v>105.0625</v>
      </c>
      <c r="D4" s="5">
        <f>(C3+C5-C4)/(2*B3*B5)</f>
        <v>0.88212131834335494</v>
      </c>
      <c r="E4" s="35">
        <f>ACOS(D4)*180/PI()</f>
        <v>28.100674833971794</v>
      </c>
      <c r="F4" t="s">
        <v>21</v>
      </c>
      <c r="J4" s="6">
        <v>25</v>
      </c>
      <c r="K4" s="38">
        <f>$I$3 + ($I$9-$I$3)*(N4-$N$3)/($N$9 - $N$3)</f>
        <v>0.97540878692032362</v>
      </c>
      <c r="L4" s="32">
        <f t="shared" ref="L4:L10" si="1">J4-$J$35</f>
        <v>11.032316933412407</v>
      </c>
      <c r="M4" s="32">
        <f t="shared" ref="M4:M10" si="2">J4-$J$34</f>
        <v>19.502058130422785</v>
      </c>
      <c r="N4" s="51">
        <f>SQRT($B$39*$B$39+$B$40*$B$40-2*$B$39*$B$40*COS((L4)*PI()/180))</f>
        <v>3.8785969400225553</v>
      </c>
      <c r="O4" s="51">
        <f t="shared" ref="O4:O10" si="3">SQRT($B$22*$B$22+$B$23*$B$23-2*$B$22*$B$23*COS((M4 )*PI()/180))</f>
        <v>7.8136658915626116</v>
      </c>
      <c r="Q4" s="37">
        <f t="shared" ref="Q4:Q10" si="4">$I$39*(J4-$J$3) +$I$3</f>
        <v>0.98172293233082719</v>
      </c>
      <c r="R4" s="33">
        <f t="shared" si="0"/>
        <v>-6.3141454105035688E-3</v>
      </c>
      <c r="S4" s="31">
        <f t="shared" ref="S4:S10" si="5">$I$40*R4</f>
        <v>-2.3277429445305747E-3</v>
      </c>
      <c r="T4" s="31">
        <f>(180/PI())*ACOS( ( $B$39^2+$B$40^2  -  (N4+S4)^2)/(2*$B$39*$B$40) ) - L4</f>
        <v>-6.98296983229163E-3</v>
      </c>
      <c r="U4" s="1">
        <f t="shared" ref="U4:U10" si="6">(O4-$O$3)*$H$19</f>
        <v>16.46101100684497</v>
      </c>
    </row>
    <row r="5" spans="1:21" x14ac:dyDescent="0.35">
      <c r="A5" s="10" t="s">
        <v>2</v>
      </c>
      <c r="B5" s="61">
        <f>SQRT(C3+C4)</f>
        <v>21.761179104083489</v>
      </c>
      <c r="C5" s="66">
        <f>B5*B5</f>
        <v>473.54891599999985</v>
      </c>
      <c r="D5" s="5">
        <f>(C3+C4-C5)/(2*B3*B4)</f>
        <v>1.444493488501365E-16</v>
      </c>
      <c r="E5" s="17">
        <f>ACOS(D5)*180/PI()</f>
        <v>89.999999999999986</v>
      </c>
      <c r="F5" t="s">
        <v>22</v>
      </c>
      <c r="J5" s="6">
        <v>30</v>
      </c>
      <c r="K5" s="38">
        <f>$I$3 + ($I$9-$I$3)*(N5-$N$3)/($N$9 - $N$3)</f>
        <v>1.5930956339779638</v>
      </c>
      <c r="L5" s="32">
        <f t="shared" si="1"/>
        <v>16.032316933412407</v>
      </c>
      <c r="M5" s="32">
        <f t="shared" si="2"/>
        <v>24.502058130422785</v>
      </c>
      <c r="N5" s="51">
        <f>SQRT($B$39*$B$39+$B$40*$B$40-2*$B$39*$B$40*COS((L5)*PI()/180))</f>
        <v>5.5541103723117669</v>
      </c>
      <c r="O5" s="51">
        <f t="shared" si="3"/>
        <v>9.5998966015707179</v>
      </c>
      <c r="Q5" s="37">
        <f t="shared" si="4"/>
        <v>1.5952379699248123</v>
      </c>
      <c r="R5" s="33">
        <f t="shared" si="0"/>
        <v>-2.1423359468484282E-3</v>
      </c>
      <c r="S5" s="31">
        <f t="shared" si="5"/>
        <v>-7.8978342449876314E-4</v>
      </c>
      <c r="T5" s="31">
        <f>(180/PI())*ACOS( ( $B$39^2+$B$40^2  -  (N5+S5)^2)/(2*$B$39*$B$40) ) - L5</f>
        <v>-2.3507878329205312E-3</v>
      </c>
      <c r="U5" s="1">
        <f t="shared" si="6"/>
        <v>35.954146745163435</v>
      </c>
    </row>
    <row r="6" spans="1:21" x14ac:dyDescent="0.35">
      <c r="A6" s="10" t="s">
        <v>10</v>
      </c>
      <c r="B6" s="4">
        <f xml:space="preserve"> B3*B3 + B4*B4 - B5*B5</f>
        <v>0</v>
      </c>
      <c r="C6" s="66"/>
      <c r="D6" s="4"/>
      <c r="E6" s="17"/>
      <c r="J6" s="6">
        <v>35</v>
      </c>
      <c r="K6" s="38">
        <f>$I$3 + ($I$9-$I$3)*(N6-$N$3)/($N$9 - $N$3)</f>
        <v>2.2120186474476888</v>
      </c>
      <c r="L6" s="32">
        <f t="shared" si="1"/>
        <v>21.032316933412407</v>
      </c>
      <c r="M6" s="32">
        <f t="shared" si="2"/>
        <v>29.502058130422785</v>
      </c>
      <c r="N6" s="51">
        <f>SQRT($B$39*$B$39+$B$40*$B$40-2*$B$39*$B$40*COS((L6)*PI()/180))</f>
        <v>7.2329769817616363</v>
      </c>
      <c r="O6" s="51">
        <f t="shared" si="3"/>
        <v>11.395324928020619</v>
      </c>
      <c r="Q6" s="37">
        <f t="shared" si="4"/>
        <v>2.2087530075187973</v>
      </c>
      <c r="R6" s="33">
        <f t="shared" si="0"/>
        <v>3.2656399288915061E-3</v>
      </c>
      <c r="S6" s="31">
        <f t="shared" si="5"/>
        <v>1.2038953507800649E-3</v>
      </c>
      <c r="T6" s="31">
        <f>(180/PI())*ACOS( ( $B$39^2+$B$40^2  -  (N6+S6)^2)/(2*$B$39*$B$40) ) - L6</f>
        <v>3.5910547838327034E-3</v>
      </c>
      <c r="U6" s="1">
        <f t="shared" si="6"/>
        <v>55.547656071711209</v>
      </c>
    </row>
    <row r="7" spans="1:21" x14ac:dyDescent="0.35">
      <c r="A7" s="10"/>
      <c r="B7" s="4"/>
      <c r="C7" s="66"/>
      <c r="D7" s="4"/>
      <c r="E7" s="17"/>
      <c r="J7" s="6">
        <v>40</v>
      </c>
      <c r="K7" s="38">
        <f>$I$3 + ($I$9-$I$3)*(N7-$N$3)/($N$9 - $N$3)</f>
        <v>2.8280988766824997</v>
      </c>
      <c r="L7" s="32">
        <f t="shared" si="1"/>
        <v>26.032316933412407</v>
      </c>
      <c r="M7" s="32">
        <f t="shared" si="2"/>
        <v>34.502058130422782</v>
      </c>
      <c r="N7" s="51">
        <f>SQRT($B$39*$B$39+$B$40*$B$40-2*$B$39*$B$40*COS((L7)*PI()/180))</f>
        <v>8.9041323647326074</v>
      </c>
      <c r="O7" s="51">
        <f t="shared" si="3"/>
        <v>13.185322755063867</v>
      </c>
      <c r="Q7" s="37">
        <f t="shared" si="4"/>
        <v>2.8222680451127822</v>
      </c>
      <c r="R7" s="33">
        <f t="shared" si="0"/>
        <v>5.8308315697175317E-3</v>
      </c>
      <c r="S7" s="31">
        <f t="shared" si="5"/>
        <v>2.1495667528622321E-3</v>
      </c>
      <c r="T7" s="31">
        <f>(180/PI())*ACOS( ( $B$39^2+$B$40^2  -  (N7+S7)^2)/(2*$B$39*$B$40) ) - L7</f>
        <v>6.454807044409705E-3</v>
      </c>
      <c r="U7" s="1">
        <f t="shared" si="6"/>
        <v>75.081902358234174</v>
      </c>
    </row>
    <row r="8" spans="1:21" x14ac:dyDescent="0.35">
      <c r="A8" s="10" t="s">
        <v>6</v>
      </c>
      <c r="B8" s="50">
        <f>19.25</f>
        <v>19.25</v>
      </c>
      <c r="C8" s="66">
        <f>B8*B8</f>
        <v>370.5625</v>
      </c>
      <c r="D8" s="5">
        <f>(C9+C10-C8)/(2*B9*B10)</f>
        <v>4.7660395561988349E-3</v>
      </c>
      <c r="E8" s="17">
        <f>ACOS(D8)*180/PI()</f>
        <v>89.726925014608298</v>
      </c>
      <c r="F8" t="s">
        <v>25</v>
      </c>
      <c r="J8" s="6">
        <v>45</v>
      </c>
      <c r="K8" s="38">
        <f>$I$3 + ($I$9-$I$3)*(N8-$N$3)/($N$9 - $N$3)</f>
        <v>3.4391044069930312</v>
      </c>
      <c r="L8" s="32">
        <f t="shared" si="1"/>
        <v>31.032316933412407</v>
      </c>
      <c r="M8" s="32">
        <f t="shared" si="2"/>
        <v>39.502058130422782</v>
      </c>
      <c r="N8" s="51">
        <f>SQRT($B$39*$B$39+$B$40*$B$40-2*$B$39*$B$40*COS((L8)*PI()/180))</f>
        <v>10.561522315829876</v>
      </c>
      <c r="O8" s="51">
        <f t="shared" si="3"/>
        <v>14.960650764430284</v>
      </c>
      <c r="Q8" s="37">
        <f t="shared" si="4"/>
        <v>3.4357830827067675</v>
      </c>
      <c r="R8" s="33">
        <f t="shared" si="0"/>
        <v>3.3213242862637493E-3</v>
      </c>
      <c r="S8" s="31">
        <f t="shared" si="5"/>
        <v>1.2244236822591497E-3</v>
      </c>
      <c r="T8" s="31">
        <f>(180/PI())*ACOS( ( $B$39^2+$B$40^2  -  (N8+S8)^2)/(2*$B$39*$B$40) ) - L8</f>
        <v>3.7127482155518976E-3</v>
      </c>
      <c r="U8" s="1">
        <f t="shared" si="6"/>
        <v>94.456056924449882</v>
      </c>
    </row>
    <row r="9" spans="1:21" x14ac:dyDescent="0.35">
      <c r="A9" s="10" t="s">
        <v>7</v>
      </c>
      <c r="B9" s="50">
        <v>6.91</v>
      </c>
      <c r="C9" s="66">
        <f>B9*B9</f>
        <v>47.748100000000001</v>
      </c>
      <c r="D9" s="5">
        <f>(C8+C10-C9)/(2*B8*B10)</f>
        <v>0.93335411255411249</v>
      </c>
      <c r="E9" s="17">
        <f>ACOS(D9)*180/PI()</f>
        <v>21.03615330555176</v>
      </c>
      <c r="F9" t="s">
        <v>24</v>
      </c>
      <c r="I9" s="60">
        <v>3.718</v>
      </c>
      <c r="J9" s="70">
        <v>47.3</v>
      </c>
      <c r="K9" s="38">
        <f>$I$3 + ($I$9-$I$3)*(N9-$N$3)/($N$9 - $N$3)</f>
        <v>3.718</v>
      </c>
      <c r="L9" s="32">
        <f>J9-$J$35</f>
        <v>33.3323169334124</v>
      </c>
      <c r="M9" s="32">
        <f>J9-$J$34</f>
        <v>41.802058130422779</v>
      </c>
      <c r="N9" s="51">
        <f>SQRT($B$39*$B$39+$B$40*$B$40-2*$B$39*$B$40*COS((L9)*PI()/180))</f>
        <v>11.318043706102955</v>
      </c>
      <c r="O9" s="51">
        <f>SQRT($B$22*$B$22+$B$23*$B$23-2*$B$22*$B$23*COS((M9 )*PI()/180))</f>
        <v>15.770472630491437</v>
      </c>
      <c r="Q9" s="37">
        <f>$I$39*(J9-$J$3) +$I$3</f>
        <v>3.718</v>
      </c>
      <c r="R9" s="33">
        <f>K9-Q9</f>
        <v>0</v>
      </c>
      <c r="S9" s="31">
        <f>$I$40*R9</f>
        <v>0</v>
      </c>
      <c r="T9" s="31">
        <f>(180/PI())*ACOS( ( $B$39^2+$B$40^2  -  (N9+S9)^2)/(2*$B$39*$B$40) ) - L9</f>
        <v>0</v>
      </c>
      <c r="U9" s="1">
        <f>(O9-$O$3)*$H$19</f>
        <v>103.29364294877524</v>
      </c>
    </row>
    <row r="10" spans="1:21" x14ac:dyDescent="0.35">
      <c r="A10" s="10" t="s">
        <v>8</v>
      </c>
      <c r="B10" s="50">
        <v>18</v>
      </c>
      <c r="C10" s="66">
        <f>B10*B10</f>
        <v>324</v>
      </c>
      <c r="D10" s="5">
        <f>(C8+C9-C10)/(2*B8*B9)</f>
        <v>0.35450448249290512</v>
      </c>
      <c r="E10" s="17">
        <f>ACOS(D10)*180/PI()</f>
        <v>69.236921679839938</v>
      </c>
      <c r="F10" t="s">
        <v>23</v>
      </c>
    </row>
    <row r="11" spans="1:21" ht="15" thickBot="1" x14ac:dyDescent="0.4">
      <c r="A11" s="11" t="s">
        <v>10</v>
      </c>
      <c r="B11" s="12">
        <f xml:space="preserve"> B8*B8 - B9*B9 - B10*B10</f>
        <v>-1.1856000000000222</v>
      </c>
      <c r="C11" s="67"/>
      <c r="D11" s="12"/>
      <c r="E11" s="13"/>
      <c r="N11" s="1"/>
      <c r="O11" s="1"/>
    </row>
    <row r="12" spans="1:21" ht="15" thickBot="1" x14ac:dyDescent="0.4">
      <c r="C12" s="68"/>
    </row>
    <row r="13" spans="1:21" x14ac:dyDescent="0.35">
      <c r="A13" s="7" t="s">
        <v>11</v>
      </c>
      <c r="B13" s="8"/>
      <c r="C13" s="69"/>
      <c r="D13" s="8"/>
      <c r="E13" s="9"/>
    </row>
    <row r="14" spans="1:21" x14ac:dyDescent="0.35">
      <c r="A14" s="10" t="s">
        <v>6</v>
      </c>
      <c r="B14" s="65">
        <f>SQRT(C16+C15)</f>
        <v>20.580770150798536</v>
      </c>
      <c r="C14" s="66">
        <f>B14*B14</f>
        <v>423.56809999999996</v>
      </c>
      <c r="D14" s="5">
        <f>(C15+C16-C14)/(2*B15*B16)</f>
        <v>1.891124454747755E-16</v>
      </c>
      <c r="E14" s="17">
        <f>ACOS(D14)*180/PI()</f>
        <v>89.999999999999986</v>
      </c>
      <c r="F14" t="s">
        <v>76</v>
      </c>
    </row>
    <row r="15" spans="1:21" x14ac:dyDescent="0.35">
      <c r="A15" s="10" t="s">
        <v>7</v>
      </c>
      <c r="B15" s="18">
        <f>6.91+1</f>
        <v>7.91</v>
      </c>
      <c r="C15" s="66">
        <f>B15*B15</f>
        <v>62.568100000000001</v>
      </c>
      <c r="D15" s="5">
        <f>(C14+C16-C15)/(2*B14*B16)</f>
        <v>0.9231918854728961</v>
      </c>
      <c r="E15" s="35">
        <f>ACOS(D15)*180/PI()</f>
        <v>22.60273296439458</v>
      </c>
      <c r="F15" t="s">
        <v>74</v>
      </c>
    </row>
    <row r="16" spans="1:21" x14ac:dyDescent="0.35">
      <c r="A16" s="10" t="s">
        <v>12</v>
      </c>
      <c r="B16" s="4">
        <f>B10+1</f>
        <v>19</v>
      </c>
      <c r="C16" s="66">
        <f>B16*B16</f>
        <v>361</v>
      </c>
      <c r="D16" s="5">
        <f>(C14+C15-C16)/(2*B14*B15)</f>
        <v>0.38433935863634772</v>
      </c>
      <c r="E16" s="17">
        <f>ACOS(D16)*180/PI()</f>
        <v>67.39726703560541</v>
      </c>
      <c r="F16" s="19" t="s">
        <v>75</v>
      </c>
    </row>
    <row r="17" spans="1:8" ht="15" thickBot="1" x14ac:dyDescent="0.4">
      <c r="A17" s="11" t="s">
        <v>10</v>
      </c>
      <c r="B17" s="12">
        <f xml:space="preserve"> B14*B14 - B15*B15 - B16*B16</f>
        <v>0</v>
      </c>
      <c r="C17" s="12"/>
      <c r="D17" s="12"/>
      <c r="E17" s="13"/>
    </row>
    <row r="19" spans="1:8" x14ac:dyDescent="0.35">
      <c r="A19" s="57" t="s">
        <v>17</v>
      </c>
      <c r="B19" s="57"/>
      <c r="C19" s="57"/>
      <c r="G19" t="s">
        <v>73</v>
      </c>
      <c r="H19">
        <v>10.913</v>
      </c>
    </row>
    <row r="20" spans="1:8" x14ac:dyDescent="0.35">
      <c r="A20" s="29" t="s">
        <v>15</v>
      </c>
      <c r="B20" s="50">
        <v>1.36</v>
      </c>
      <c r="C20" s="30" t="s">
        <v>26</v>
      </c>
      <c r="D20" t="s">
        <v>19</v>
      </c>
    </row>
    <row r="21" spans="1:8" x14ac:dyDescent="0.35">
      <c r="A21" s="29" t="s">
        <v>18</v>
      </c>
      <c r="B21" s="29"/>
      <c r="C21" s="29"/>
      <c r="D21" t="s">
        <v>20</v>
      </c>
    </row>
    <row r="22" spans="1:8" x14ac:dyDescent="0.35">
      <c r="A22" s="52" t="s">
        <v>13</v>
      </c>
      <c r="B22" s="53">
        <f>B14</f>
        <v>20.580770150798536</v>
      </c>
      <c r="C22" s="52" t="s">
        <v>47</v>
      </c>
    </row>
    <row r="23" spans="1:8" x14ac:dyDescent="0.35">
      <c r="A23" s="52" t="s">
        <v>14</v>
      </c>
      <c r="B23" s="53">
        <f>$B$5+B20</f>
        <v>23.121179104083488</v>
      </c>
      <c r="C23" s="52" t="s">
        <v>47</v>
      </c>
    </row>
    <row r="24" spans="1:8" x14ac:dyDescent="0.35">
      <c r="A24" s="52" t="s">
        <v>46</v>
      </c>
      <c r="B24" s="53">
        <f>$E$15</f>
        <v>22.60273296439458</v>
      </c>
      <c r="C24" s="52" t="s">
        <v>48</v>
      </c>
    </row>
    <row r="26" spans="1:8" x14ac:dyDescent="0.35">
      <c r="A26" s="58" t="s">
        <v>27</v>
      </c>
      <c r="B26" s="59"/>
      <c r="C26" s="59"/>
      <c r="D26" s="59"/>
      <c r="E26" s="40"/>
      <c r="F26" s="26"/>
    </row>
    <row r="27" spans="1:8" x14ac:dyDescent="0.35">
      <c r="A27" s="41" t="s">
        <v>28</v>
      </c>
      <c r="B27" s="42">
        <v>2</v>
      </c>
      <c r="C27" s="25" t="s">
        <v>49</v>
      </c>
      <c r="D27" s="43" t="s">
        <v>32</v>
      </c>
      <c r="E27" s="44"/>
      <c r="F27" s="27"/>
    </row>
    <row r="28" spans="1:8" x14ac:dyDescent="0.35">
      <c r="A28" s="41" t="s">
        <v>29</v>
      </c>
      <c r="B28" s="43">
        <v>0.5</v>
      </c>
      <c r="C28" s="25" t="s">
        <v>49</v>
      </c>
      <c r="D28" s="43" t="s">
        <v>31</v>
      </c>
      <c r="E28" s="44"/>
      <c r="F28" s="27"/>
    </row>
    <row r="29" spans="1:8" x14ac:dyDescent="0.35">
      <c r="A29" s="41" t="s">
        <v>30</v>
      </c>
      <c r="B29" s="43">
        <v>0.25</v>
      </c>
      <c r="C29" s="25" t="s">
        <v>49</v>
      </c>
      <c r="D29" s="43" t="s">
        <v>33</v>
      </c>
      <c r="E29" s="44"/>
      <c r="F29" s="27"/>
    </row>
    <row r="30" spans="1:8" x14ac:dyDescent="0.35">
      <c r="A30" s="41"/>
      <c r="B30" s="43"/>
      <c r="C30" s="43"/>
      <c r="D30" s="43"/>
      <c r="E30" s="44"/>
      <c r="F30" s="27"/>
    </row>
    <row r="31" spans="1:8" x14ac:dyDescent="0.35">
      <c r="A31" s="41"/>
      <c r="B31" s="43"/>
      <c r="C31" s="43"/>
      <c r="D31" s="43"/>
      <c r="E31" s="44"/>
      <c r="F31" s="27"/>
    </row>
    <row r="32" spans="1:8" x14ac:dyDescent="0.35">
      <c r="A32" s="22" t="s">
        <v>34</v>
      </c>
      <c r="B32" s="22">
        <f>$B$16+$B$28</f>
        <v>19.5</v>
      </c>
      <c r="C32" s="20">
        <f>B32*B32</f>
        <v>380.25</v>
      </c>
      <c r="D32" s="21">
        <f>(C33+C34-C32)/(2*B33*B34)</f>
        <v>0.24417343819070056</v>
      </c>
      <c r="E32" s="23">
        <f>ACOS(D32)*180/PI()</f>
        <v>75.867008232615774</v>
      </c>
      <c r="F32" s="27" t="s">
        <v>39</v>
      </c>
    </row>
    <row r="33" spans="1:10" x14ac:dyDescent="0.35">
      <c r="A33" s="22" t="s">
        <v>35</v>
      </c>
      <c r="B33" s="20">
        <f>$B$9-$B$27</f>
        <v>4.91</v>
      </c>
      <c r="C33" s="20">
        <f>B33*B33</f>
        <v>24.1081</v>
      </c>
      <c r="D33" s="21">
        <f>(C32+C34-C33)/(2*B32*B34)</f>
        <v>0.96973157733577608</v>
      </c>
      <c r="E33" s="39">
        <f>ACOS(D33)*180/PI()</f>
        <v>14.132991767384201</v>
      </c>
      <c r="F33" s="27" t="s">
        <v>37</v>
      </c>
    </row>
    <row r="34" spans="1:10" x14ac:dyDescent="0.35">
      <c r="A34" s="22" t="s">
        <v>36</v>
      </c>
      <c r="B34" s="24">
        <f>SQRT(B32^2+B33^2)</f>
        <v>20.108657339563972</v>
      </c>
      <c r="C34" s="20">
        <f>B34*B34</f>
        <v>404.35810000000004</v>
      </c>
      <c r="D34" s="21">
        <f>(C32+C33-C34)/(2*B32*B33)</f>
        <v>-2.9684797566874515E-16</v>
      </c>
      <c r="E34" s="23">
        <f>ACOS(D34)*180/PI()</f>
        <v>90.000000000000014</v>
      </c>
      <c r="F34" s="27" t="s">
        <v>38</v>
      </c>
      <c r="H34" s="62" t="s">
        <v>52</v>
      </c>
      <c r="I34" s="63" t="s">
        <v>56</v>
      </c>
      <c r="J34" s="64">
        <f>-$B$24 +$E$4</f>
        <v>5.4979418695772146</v>
      </c>
    </row>
    <row r="35" spans="1:10" x14ac:dyDescent="0.35">
      <c r="A35" s="41"/>
      <c r="B35" s="43"/>
      <c r="C35" s="43"/>
      <c r="D35" s="43"/>
      <c r="E35" s="44"/>
      <c r="F35" s="27"/>
      <c r="H35" s="62" t="s">
        <v>52</v>
      </c>
      <c r="I35" s="63" t="s">
        <v>57</v>
      </c>
      <c r="J35" s="64">
        <f xml:space="preserve"> - $B$41 + $E$4</f>
        <v>13.967683066587593</v>
      </c>
    </row>
    <row r="36" spans="1:10" x14ac:dyDescent="0.35">
      <c r="A36" s="45" t="s">
        <v>40</v>
      </c>
      <c r="B36" s="46">
        <v>-2.5099999999999998</v>
      </c>
      <c r="C36" s="43"/>
      <c r="D36" s="43" t="s">
        <v>42</v>
      </c>
      <c r="E36" s="44"/>
      <c r="F36" s="27"/>
    </row>
    <row r="37" spans="1:10" x14ac:dyDescent="0.35">
      <c r="A37" s="45" t="s">
        <v>41</v>
      </c>
      <c r="B37" s="25">
        <v>0</v>
      </c>
      <c r="C37" s="43"/>
      <c r="D37" s="43" t="s">
        <v>43</v>
      </c>
      <c r="E37" s="44"/>
      <c r="F37" s="27"/>
      <c r="H37" s="19" t="s">
        <v>58</v>
      </c>
    </row>
    <row r="38" spans="1:10" x14ac:dyDescent="0.35">
      <c r="A38" s="52" t="s">
        <v>51</v>
      </c>
      <c r="B38" s="52"/>
      <c r="C38" s="43"/>
      <c r="D38" s="43"/>
      <c r="E38" s="44"/>
      <c r="F38" s="27"/>
    </row>
    <row r="39" spans="1:10" x14ac:dyDescent="0.35">
      <c r="A39" s="52" t="s">
        <v>44</v>
      </c>
      <c r="B39" s="52">
        <f>$B$5+$B$36</f>
        <v>19.251179104083491</v>
      </c>
      <c r="C39" s="43" t="s">
        <v>66</v>
      </c>
      <c r="D39" s="43" t="s">
        <v>50</v>
      </c>
      <c r="E39" s="44"/>
      <c r="F39" s="27"/>
      <c r="H39" t="s">
        <v>61</v>
      </c>
      <c r="I39">
        <f xml:space="preserve"> ($I$9-$I$3) / ($J$9-$J$3)</f>
        <v>0.12270300751879701</v>
      </c>
      <c r="J39" s="6" t="s">
        <v>68</v>
      </c>
    </row>
    <row r="40" spans="1:10" x14ac:dyDescent="0.35">
      <c r="A40" s="52" t="s">
        <v>45</v>
      </c>
      <c r="B40" s="53">
        <f>B34</f>
        <v>20.108657339563972</v>
      </c>
      <c r="C40" s="43" t="s">
        <v>66</v>
      </c>
      <c r="D40" s="43"/>
      <c r="E40" s="44"/>
      <c r="F40" s="27"/>
      <c r="H40" t="s">
        <v>62</v>
      </c>
      <c r="I40">
        <f xml:space="preserve"> ($I$9-$I$3) / ($N$9-$N$3)</f>
        <v>0.36865526420382699</v>
      </c>
      <c r="J40" s="6" t="s">
        <v>71</v>
      </c>
    </row>
    <row r="41" spans="1:10" x14ac:dyDescent="0.35">
      <c r="A41" s="52" t="s">
        <v>37</v>
      </c>
      <c r="B41" s="53">
        <f>$E$33</f>
        <v>14.132991767384201</v>
      </c>
      <c r="C41" s="43" t="s">
        <v>67</v>
      </c>
      <c r="D41" s="43"/>
      <c r="E41" s="44"/>
      <c r="F41" s="27"/>
    </row>
    <row r="42" spans="1:10" x14ac:dyDescent="0.35">
      <c r="A42" s="47"/>
      <c r="B42" s="48"/>
      <c r="C42" s="48"/>
      <c r="D42" s="48"/>
      <c r="E42" s="49"/>
      <c r="F42" s="28"/>
    </row>
  </sheetData>
  <mergeCells count="3">
    <mergeCell ref="A1:E1"/>
    <mergeCell ref="A19:C19"/>
    <mergeCell ref="A26:D26"/>
  </mergeCells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derek</dc:creator>
  <cp:lastModifiedBy>derek</cp:lastModifiedBy>
  <dcterms:created xsi:type="dcterms:W3CDTF">2021-02-17T15:02:07Z</dcterms:created>
  <dcterms:modified xsi:type="dcterms:W3CDTF">2021-02-22T22:56:07Z</dcterms:modified>
</cp:coreProperties>
</file>