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charts/chartEx1.xml" ContentType="application/vnd.ms-office.chartex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ecacc0af30e1ab/Documents/"/>
    </mc:Choice>
  </mc:AlternateContent>
  <xr:revisionPtr revIDLastSave="0" documentId="8_{5BAD94F5-FD79-4483-8527-16339DD6C639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Cover Sheet" sheetId="5" r:id="rId1"/>
    <sheet name="Projections" sheetId="2" r:id="rId2"/>
    <sheet name="Cash Flow" sheetId="4" r:id="rId3"/>
    <sheet name="Beta" sheetId="8" r:id="rId4"/>
    <sheet name="Comps" sheetId="11" r:id="rId5"/>
    <sheet name="Data Box" sheetId="3" r:id="rId6"/>
    <sheet name="DCF" sheetId="14" r:id="rId7"/>
    <sheet name="WACC" sheetId="12" r:id="rId8"/>
    <sheet name="Revenue Model" sheetId="16" r:id="rId9"/>
    <sheet name="Map" sheetId="17" r:id="rId10"/>
  </sheets>
  <definedNames>
    <definedName name="_xlchart.v5.0" hidden="1">Map!$B$2</definedName>
    <definedName name="_xlchart.v5.1" hidden="1">Map!$B$3:$B$25</definedName>
    <definedName name="_xlchart.v5.2" hidden="1">Map!$C$2</definedName>
    <definedName name="_xlchart.v5.3" hidden="1">Map!$C$3:$C$25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" i="14" l="1"/>
  <c r="H22" i="14"/>
  <c r="C22" i="14"/>
  <c r="H23" i="14"/>
  <c r="C96" i="2"/>
  <c r="O4" i="11"/>
  <c r="H31" i="14"/>
  <c r="H29" i="14"/>
  <c r="H28" i="14"/>
  <c r="C29" i="14"/>
  <c r="C28" i="14"/>
  <c r="C18" i="14"/>
  <c r="D18" i="14"/>
  <c r="C17" i="14"/>
  <c r="C10" i="14"/>
  <c r="C11" i="14"/>
  <c r="C9" i="14"/>
  <c r="G80" i="2"/>
  <c r="G78" i="2"/>
  <c r="F78" i="2"/>
  <c r="C81" i="2"/>
  <c r="F79" i="2"/>
  <c r="G79" i="2" s="1"/>
  <c r="F82" i="2"/>
  <c r="C79" i="2"/>
  <c r="D99" i="2"/>
  <c r="D92" i="2"/>
  <c r="E92" i="2"/>
  <c r="F92" i="2"/>
  <c r="G92" i="2"/>
  <c r="H92" i="2"/>
  <c r="I92" i="2"/>
  <c r="J92" i="2"/>
  <c r="K92" i="2"/>
  <c r="L92" i="2"/>
  <c r="C92" i="2"/>
  <c r="G90" i="2"/>
  <c r="D97" i="2"/>
  <c r="G94" i="2"/>
  <c r="D95" i="2"/>
  <c r="F91" i="2"/>
  <c r="G91" i="2"/>
  <c r="C91" i="2"/>
  <c r="H88" i="2"/>
  <c r="C95" i="2"/>
  <c r="C89" i="2"/>
  <c r="H86" i="2"/>
  <c r="H87" i="2"/>
  <c r="C87" i="2"/>
  <c r="G87" i="2"/>
  <c r="G86" i="2" s="1"/>
  <c r="G28" i="2"/>
  <c r="C10" i="12"/>
  <c r="C90" i="2"/>
  <c r="D89" i="2"/>
  <c r="C98" i="2"/>
  <c r="C99" i="2" s="1"/>
  <c r="D100" i="2" s="1"/>
  <c r="N11" i="11"/>
  <c r="D98" i="2"/>
  <c r="C8" i="14"/>
  <c r="C16" i="12"/>
  <c r="C17" i="12"/>
  <c r="G7" i="2"/>
  <c r="C18" i="2"/>
  <c r="C23" i="2"/>
  <c r="C27" i="2"/>
  <c r="C30" i="2" s="1"/>
  <c r="C8" i="12"/>
  <c r="D17" i="14"/>
  <c r="C88" i="2"/>
  <c r="C82" i="2"/>
  <c r="O23" i="2"/>
  <c r="P23" i="2"/>
  <c r="Q23" i="2"/>
  <c r="N23" i="2"/>
  <c r="C26" i="17"/>
  <c r="H8" i="16"/>
  <c r="I8" i="16" s="1"/>
  <c r="J8" i="16" s="1"/>
  <c r="K8" i="16" s="1"/>
  <c r="L8" i="16" s="1"/>
  <c r="F7" i="16"/>
  <c r="G7" i="16" s="1"/>
  <c r="E7" i="16"/>
  <c r="D7" i="16"/>
  <c r="C7" i="16"/>
  <c r="C9" i="16" s="1"/>
  <c r="H6" i="16"/>
  <c r="I6" i="16" s="1"/>
  <c r="J6" i="16" s="1"/>
  <c r="K6" i="16" s="1"/>
  <c r="L6" i="16" s="1"/>
  <c r="F5" i="16"/>
  <c r="F9" i="16" s="1"/>
  <c r="E5" i="16"/>
  <c r="D5" i="16"/>
  <c r="D6" i="16" s="1"/>
  <c r="C5" i="16"/>
  <c r="L7" i="11"/>
  <c r="F46" i="14"/>
  <c r="F44" i="14"/>
  <c r="E46" i="14"/>
  <c r="E44" i="14"/>
  <c r="D46" i="14"/>
  <c r="D44" i="14"/>
  <c r="D47" i="14"/>
  <c r="F48" i="14"/>
  <c r="F47" i="14"/>
  <c r="E48" i="14"/>
  <c r="E47" i="14"/>
  <c r="D48" i="14"/>
  <c r="D38" i="11"/>
  <c r="D35" i="11"/>
  <c r="E39" i="11"/>
  <c r="E38" i="11"/>
  <c r="E37" i="11"/>
  <c r="E35" i="11"/>
  <c r="P5" i="11"/>
  <c r="P3" i="11"/>
  <c r="P4" i="11"/>
  <c r="O3" i="11"/>
  <c r="N25" i="11"/>
  <c r="N24" i="11"/>
  <c r="N26" i="11"/>
  <c r="N27" i="11"/>
  <c r="N28" i="11"/>
  <c r="N23" i="11"/>
  <c r="L3" i="11"/>
  <c r="K3" i="11"/>
  <c r="J3" i="11"/>
  <c r="N3" i="11" s="1"/>
  <c r="J4" i="11"/>
  <c r="N4" i="11"/>
  <c r="M3" i="11"/>
  <c r="I3" i="11"/>
  <c r="H3" i="11"/>
  <c r="G3" i="11"/>
  <c r="F3" i="11"/>
  <c r="E3" i="11"/>
  <c r="M21" i="11"/>
  <c r="M20" i="11"/>
  <c r="M19" i="11"/>
  <c r="M17" i="11"/>
  <c r="M18" i="11"/>
  <c r="M16" i="11"/>
  <c r="O43" i="14"/>
  <c r="O42" i="14"/>
  <c r="O41" i="14"/>
  <c r="F29" i="2"/>
  <c r="F30" i="2"/>
  <c r="E6" i="16" l="1"/>
  <c r="F8" i="16"/>
  <c r="D9" i="16"/>
  <c r="D8" i="16"/>
  <c r="G5" i="16"/>
  <c r="H5" i="16" s="1"/>
  <c r="I5" i="16" s="1"/>
  <c r="J5" i="16" s="1"/>
  <c r="K5" i="16" s="1"/>
  <c r="L5" i="16" s="1"/>
  <c r="E8" i="16"/>
  <c r="F6" i="16"/>
  <c r="G9" i="16"/>
  <c r="E9" i="16"/>
  <c r="H7" i="16"/>
  <c r="N33" i="14"/>
  <c r="N34" i="14" s="1"/>
  <c r="N35" i="14" s="1"/>
  <c r="P31" i="14"/>
  <c r="Q31" i="14" s="1"/>
  <c r="R31" i="14" s="1"/>
  <c r="S31" i="14" s="1"/>
  <c r="K5" i="11"/>
  <c r="K9" i="11"/>
  <c r="K7" i="11"/>
  <c r="K8" i="11"/>
  <c r="K4" i="11"/>
  <c r="L9" i="11"/>
  <c r="I9" i="11"/>
  <c r="H9" i="11"/>
  <c r="F9" i="11"/>
  <c r="G9" i="11"/>
  <c r="I8" i="11"/>
  <c r="H8" i="11"/>
  <c r="L8" i="11"/>
  <c r="F8" i="11"/>
  <c r="G8" i="11" s="1"/>
  <c r="J8" i="11" s="1"/>
  <c r="N8" i="11" s="1"/>
  <c r="I7" i="11"/>
  <c r="H7" i="11"/>
  <c r="F7" i="11"/>
  <c r="L6" i="11"/>
  <c r="K6" i="11"/>
  <c r="I6" i="11"/>
  <c r="H6" i="11"/>
  <c r="H5" i="11"/>
  <c r="F6" i="11"/>
  <c r="G6" i="11" s="1"/>
  <c r="J6" i="11" s="1"/>
  <c r="P6" i="11"/>
  <c r="P7" i="11"/>
  <c r="P8" i="11"/>
  <c r="P9" i="11"/>
  <c r="F5" i="11"/>
  <c r="I5" i="11"/>
  <c r="L5" i="11"/>
  <c r="L4" i="11"/>
  <c r="I4" i="11"/>
  <c r="H4" i="11"/>
  <c r="F4" i="11"/>
  <c r="G4" i="11" s="1"/>
  <c r="E12" i="2"/>
  <c r="D11" i="2"/>
  <c r="E11" i="2"/>
  <c r="F11" i="2"/>
  <c r="F25" i="2" s="1"/>
  <c r="C11" i="2"/>
  <c r="C25" i="2" s="1"/>
  <c r="F12" i="2"/>
  <c r="H8" i="2"/>
  <c r="I8" i="2" s="1"/>
  <c r="J8" i="2" s="1"/>
  <c r="K8" i="2" s="1"/>
  <c r="L8" i="2" s="1"/>
  <c r="C7" i="12"/>
  <c r="J9" i="8"/>
  <c r="J6" i="8"/>
  <c r="E12" i="5"/>
  <c r="G95" i="2"/>
  <c r="E95" i="2"/>
  <c r="F95" i="2"/>
  <c r="F96" i="2"/>
  <c r="D96" i="2"/>
  <c r="E96" i="2"/>
  <c r="C94" i="2"/>
  <c r="D91" i="2"/>
  <c r="E91" i="2"/>
  <c r="H91" i="2"/>
  <c r="H90" i="2" s="1"/>
  <c r="D90" i="2"/>
  <c r="E90" i="2"/>
  <c r="F90" i="2"/>
  <c r="C86" i="2"/>
  <c r="J4" i="8"/>
  <c r="J5" i="8"/>
  <c r="J7" i="8"/>
  <c r="H20" i="2"/>
  <c r="I20" i="2"/>
  <c r="J20" i="2"/>
  <c r="K20" i="2"/>
  <c r="L20" i="2"/>
  <c r="G20" i="2"/>
  <c r="F9" i="2"/>
  <c r="G9" i="2" s="1"/>
  <c r="E9" i="2"/>
  <c r="D9" i="2"/>
  <c r="C9" i="2"/>
  <c r="C7" i="2"/>
  <c r="D7" i="2"/>
  <c r="E7" i="2"/>
  <c r="F7" i="2"/>
  <c r="H10" i="2"/>
  <c r="I10" i="2" s="1"/>
  <c r="J10" i="2" s="1"/>
  <c r="K10" i="2" s="1"/>
  <c r="L10" i="2" s="1"/>
  <c r="D25" i="2"/>
  <c r="E25" i="2"/>
  <c r="E17" i="14"/>
  <c r="F17" i="14" s="1"/>
  <c r="G17" i="14" s="1"/>
  <c r="H17" i="14" s="1"/>
  <c r="G5" i="11"/>
  <c r="J5" i="11" s="1"/>
  <c r="G7" i="11"/>
  <c r="G13" i="8"/>
  <c r="D13" i="8"/>
  <c r="D7" i="8"/>
  <c r="D5" i="8"/>
  <c r="G5" i="8"/>
  <c r="R22" i="14"/>
  <c r="S22" i="14" s="1"/>
  <c r="P22" i="14"/>
  <c r="O22" i="14" s="1"/>
  <c r="C31" i="14"/>
  <c r="C24" i="12"/>
  <c r="C23" i="12"/>
  <c r="H95" i="2" l="1"/>
  <c r="I95" i="2" s="1"/>
  <c r="J95" i="2" s="1"/>
  <c r="K95" i="2" s="1"/>
  <c r="L95" i="2" s="1"/>
  <c r="I91" i="2"/>
  <c r="J91" i="2" s="1"/>
  <c r="K91" i="2" s="1"/>
  <c r="L91" i="2" s="1"/>
  <c r="H9" i="16"/>
  <c r="I7" i="16"/>
  <c r="P11" i="11"/>
  <c r="P20" i="11"/>
  <c r="P27" i="11" s="1"/>
  <c r="P21" i="11"/>
  <c r="P28" i="11" s="1"/>
  <c r="D37" i="11" s="1"/>
  <c r="P16" i="11"/>
  <c r="P23" i="11" s="1"/>
  <c r="P18" i="11"/>
  <c r="P25" i="11" s="1"/>
  <c r="P17" i="11"/>
  <c r="P24" i="11" s="1"/>
  <c r="P19" i="11"/>
  <c r="P26" i="11" s="1"/>
  <c r="L21" i="11"/>
  <c r="L19" i="11"/>
  <c r="L18" i="11"/>
  <c r="L20" i="11"/>
  <c r="L17" i="11"/>
  <c r="L16" i="11"/>
  <c r="K16" i="11"/>
  <c r="K21" i="11"/>
  <c r="K20" i="11"/>
  <c r="K19" i="11"/>
  <c r="K18" i="11"/>
  <c r="K17" i="11"/>
  <c r="J7" i="11"/>
  <c r="N7" i="11" s="1"/>
  <c r="N36" i="14"/>
  <c r="O8" i="11"/>
  <c r="N6" i="11"/>
  <c r="O6" i="11"/>
  <c r="J9" i="11"/>
  <c r="C19" i="12"/>
  <c r="H9" i="2"/>
  <c r="F10" i="2"/>
  <c r="F8" i="2"/>
  <c r="E8" i="2"/>
  <c r="H7" i="2"/>
  <c r="I7" i="2" s="1"/>
  <c r="J7" i="2" s="1"/>
  <c r="K7" i="2" s="1"/>
  <c r="L7" i="2" s="1"/>
  <c r="D10" i="2"/>
  <c r="E10" i="2"/>
  <c r="D8" i="2"/>
  <c r="C18" i="12"/>
  <c r="C25" i="12"/>
  <c r="I9" i="16" l="1"/>
  <c r="J7" i="16"/>
  <c r="O7" i="11"/>
  <c r="O17" i="11"/>
  <c r="O24" i="11" s="1"/>
  <c r="O21" i="11"/>
  <c r="O28" i="11" s="1"/>
  <c r="G11" i="2"/>
  <c r="N9" i="11"/>
  <c r="O9" i="11"/>
  <c r="O5" i="11"/>
  <c r="O16" i="11" s="1"/>
  <c r="O23" i="11" s="1"/>
  <c r="N5" i="11"/>
  <c r="I9" i="2"/>
  <c r="H11" i="2"/>
  <c r="H12" i="3"/>
  <c r="G12" i="3"/>
  <c r="C5" i="3"/>
  <c r="C12" i="3" s="1"/>
  <c r="E97" i="2"/>
  <c r="F97" i="2"/>
  <c r="D80" i="2"/>
  <c r="D45" i="2"/>
  <c r="D51" i="2" s="1"/>
  <c r="G25" i="2"/>
  <c r="H25" i="2" s="1"/>
  <c r="I25" i="2" s="1"/>
  <c r="J25" i="2" s="1"/>
  <c r="E14" i="2"/>
  <c r="F14" i="2"/>
  <c r="D14" i="2"/>
  <c r="D15" i="2"/>
  <c r="D12" i="2"/>
  <c r="D94" i="2"/>
  <c r="E94" i="2"/>
  <c r="F94" i="2"/>
  <c r="D88" i="2"/>
  <c r="E88" i="2"/>
  <c r="E89" i="2" s="1"/>
  <c r="F88" i="2"/>
  <c r="F89" i="2" s="1"/>
  <c r="D86" i="2"/>
  <c r="D87" i="2" s="1"/>
  <c r="E86" i="2"/>
  <c r="F86" i="2"/>
  <c r="F87" i="2" s="1"/>
  <c r="C80" i="2"/>
  <c r="E80" i="2"/>
  <c r="F80" i="2"/>
  <c r="D78" i="2"/>
  <c r="D79" i="2" s="1"/>
  <c r="E78" i="2"/>
  <c r="E79" i="2" s="1"/>
  <c r="C78" i="2"/>
  <c r="D22" i="2"/>
  <c r="E22" i="2"/>
  <c r="F22" i="2"/>
  <c r="C22" i="2"/>
  <c r="D18" i="2"/>
  <c r="E18" i="2"/>
  <c r="F18" i="2"/>
  <c r="D72" i="2"/>
  <c r="E72" i="2"/>
  <c r="F72" i="2"/>
  <c r="G72" i="2"/>
  <c r="H72" i="2"/>
  <c r="I72" i="2"/>
  <c r="J72" i="2"/>
  <c r="K72" i="2"/>
  <c r="L72" i="2"/>
  <c r="C72" i="2"/>
  <c r="D60" i="2"/>
  <c r="D65" i="2" s="1"/>
  <c r="E60" i="2"/>
  <c r="E65" i="2" s="1"/>
  <c r="F60" i="2"/>
  <c r="F65" i="2" s="1"/>
  <c r="G60" i="2"/>
  <c r="G65" i="2" s="1"/>
  <c r="H60" i="2"/>
  <c r="H65" i="2" s="1"/>
  <c r="I60" i="2"/>
  <c r="I65" i="2" s="1"/>
  <c r="J60" i="2"/>
  <c r="J65" i="2" s="1"/>
  <c r="K60" i="2"/>
  <c r="K65" i="2" s="1"/>
  <c r="L60" i="2"/>
  <c r="L65" i="2" s="1"/>
  <c r="C60" i="2"/>
  <c r="C65" i="2" s="1"/>
  <c r="G45" i="2"/>
  <c r="G51" i="2" s="1"/>
  <c r="H45" i="2"/>
  <c r="H51" i="2" s="1"/>
  <c r="I45" i="2"/>
  <c r="I51" i="2" s="1"/>
  <c r="J45" i="2"/>
  <c r="J51" i="2" s="1"/>
  <c r="K45" i="2"/>
  <c r="K51" i="2" s="1"/>
  <c r="L45" i="2"/>
  <c r="L51" i="2" s="1"/>
  <c r="E45" i="2"/>
  <c r="E51" i="2" s="1"/>
  <c r="F45" i="2"/>
  <c r="F51" i="2" s="1"/>
  <c r="C45" i="2"/>
  <c r="C51" i="2" s="1"/>
  <c r="D45" i="14" l="1"/>
  <c r="D49" i="14" s="1"/>
  <c r="D36" i="11"/>
  <c r="G12" i="2"/>
  <c r="G17" i="2"/>
  <c r="K7" i="16"/>
  <c r="J9" i="16"/>
  <c r="O18" i="11"/>
  <c r="O25" i="11" s="1"/>
  <c r="E45" i="14" s="1"/>
  <c r="E49" i="14" s="1"/>
  <c r="N17" i="11"/>
  <c r="N21" i="11"/>
  <c r="N19" i="11"/>
  <c r="N18" i="11"/>
  <c r="N16" i="11"/>
  <c r="N20" i="11"/>
  <c r="O20" i="11"/>
  <c r="O27" i="11" s="1"/>
  <c r="O19" i="11"/>
  <c r="O26" i="11" s="1"/>
  <c r="H12" i="2"/>
  <c r="O11" i="11"/>
  <c r="C37" i="14"/>
  <c r="J9" i="2"/>
  <c r="I11" i="2"/>
  <c r="I12" i="2" s="1"/>
  <c r="H14" i="2"/>
  <c r="G89" i="2"/>
  <c r="G22" i="2"/>
  <c r="G21" i="2" s="1"/>
  <c r="H18" i="2"/>
  <c r="G18" i="2"/>
  <c r="E98" i="2"/>
  <c r="J14" i="2"/>
  <c r="L18" i="2"/>
  <c r="L14" i="2"/>
  <c r="K18" i="2"/>
  <c r="K14" i="2"/>
  <c r="J18" i="2"/>
  <c r="I14" i="2"/>
  <c r="G14" i="2"/>
  <c r="G13" i="2" s="1"/>
  <c r="I18" i="2"/>
  <c r="C6" i="14"/>
  <c r="G24" i="2"/>
  <c r="C7" i="3"/>
  <c r="F98" i="2"/>
  <c r="C97" i="2"/>
  <c r="K25" i="2"/>
  <c r="D81" i="2"/>
  <c r="E87" i="2"/>
  <c r="E81" i="2"/>
  <c r="D82" i="2"/>
  <c r="F81" i="2"/>
  <c r="G81" i="2" s="1"/>
  <c r="E82" i="2"/>
  <c r="G74" i="2"/>
  <c r="J74" i="2"/>
  <c r="F74" i="2"/>
  <c r="K74" i="2"/>
  <c r="C74" i="2"/>
  <c r="E74" i="2"/>
  <c r="L74" i="2"/>
  <c r="D74" i="2"/>
  <c r="I74" i="2"/>
  <c r="H74" i="2"/>
  <c r="G6" i="8"/>
  <c r="G7" i="8"/>
  <c r="G8" i="8"/>
  <c r="G9" i="8"/>
  <c r="G10" i="8"/>
  <c r="G11" i="8"/>
  <c r="G12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D6" i="8"/>
  <c r="D8" i="8"/>
  <c r="D9" i="8"/>
  <c r="D10" i="8"/>
  <c r="D11" i="8"/>
  <c r="D12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C39" i="4"/>
  <c r="D38" i="4"/>
  <c r="D39" i="4" s="1"/>
  <c r="E38" i="4" s="1"/>
  <c r="E39" i="4" s="1"/>
  <c r="F38" i="4" s="1"/>
  <c r="F39" i="4" s="1"/>
  <c r="D36" i="4"/>
  <c r="E36" i="4"/>
  <c r="F36" i="4"/>
  <c r="D27" i="4"/>
  <c r="E27" i="4"/>
  <c r="F27" i="4"/>
  <c r="D24" i="4"/>
  <c r="E24" i="4"/>
  <c r="F24" i="4"/>
  <c r="C24" i="4"/>
  <c r="C36" i="4"/>
  <c r="C27" i="4"/>
  <c r="D23" i="2"/>
  <c r="E15" i="2"/>
  <c r="F15" i="2"/>
  <c r="F23" i="2" s="1"/>
  <c r="C15" i="2"/>
  <c r="G97" i="2" l="1"/>
  <c r="F45" i="14"/>
  <c r="F49" i="14" s="1"/>
  <c r="E13" i="5" s="1"/>
  <c r="E14" i="5" s="1"/>
  <c r="E36" i="11"/>
  <c r="H79" i="2"/>
  <c r="I79" i="2" s="1"/>
  <c r="H89" i="2"/>
  <c r="K9" i="16"/>
  <c r="L7" i="16"/>
  <c r="L9" i="16" s="1"/>
  <c r="K9" i="2"/>
  <c r="J11" i="2"/>
  <c r="J12" i="2" s="1"/>
  <c r="H22" i="2"/>
  <c r="I22" i="2" s="1"/>
  <c r="C13" i="14"/>
  <c r="F99" i="2"/>
  <c r="E99" i="2"/>
  <c r="D20" i="2"/>
  <c r="D26" i="2"/>
  <c r="C29" i="2"/>
  <c r="C26" i="2"/>
  <c r="C20" i="2"/>
  <c r="F26" i="2"/>
  <c r="F20" i="2"/>
  <c r="J79" i="2"/>
  <c r="K79" i="2" s="1"/>
  <c r="L79" i="2" s="1"/>
  <c r="E23" i="2"/>
  <c r="E27" i="2" s="1"/>
  <c r="H21" i="2"/>
  <c r="I21" i="2" s="1"/>
  <c r="J22" i="2"/>
  <c r="K22" i="2" s="1"/>
  <c r="J3" i="8"/>
  <c r="G88" i="2"/>
  <c r="D6" i="14"/>
  <c r="D7" i="14" s="1"/>
  <c r="H78" i="2"/>
  <c r="H24" i="2"/>
  <c r="G15" i="2"/>
  <c r="L25" i="2"/>
  <c r="H17" i="2"/>
  <c r="H13" i="2"/>
  <c r="H94" i="2" s="1"/>
  <c r="D27" i="2"/>
  <c r="F27" i="2"/>
  <c r="G96" i="2" l="1"/>
  <c r="H97" i="2"/>
  <c r="I89" i="2"/>
  <c r="J89" i="2" s="1"/>
  <c r="K89" i="2" s="1"/>
  <c r="L89" i="2" s="1"/>
  <c r="L9" i="2"/>
  <c r="L11" i="2" s="1"/>
  <c r="K11" i="2"/>
  <c r="K12" i="2" s="1"/>
  <c r="E100" i="2"/>
  <c r="G82" i="2"/>
  <c r="C12" i="14" s="1"/>
  <c r="C3" i="3"/>
  <c r="F100" i="2"/>
  <c r="E29" i="2"/>
  <c r="E30" i="2"/>
  <c r="E3" i="3" s="1"/>
  <c r="E5" i="3" s="1"/>
  <c r="E12" i="3" s="1"/>
  <c r="E20" i="2"/>
  <c r="E26" i="2"/>
  <c r="L22" i="2"/>
  <c r="J21" i="2"/>
  <c r="K21" i="2" s="1"/>
  <c r="D30" i="2"/>
  <c r="D3" i="3" s="1"/>
  <c r="D5" i="3" s="1"/>
  <c r="D29" i="2"/>
  <c r="F3" i="3"/>
  <c r="F5" i="3" s="1"/>
  <c r="H81" i="2"/>
  <c r="H15" i="2"/>
  <c r="D13" i="14"/>
  <c r="E6" i="14"/>
  <c r="E7" i="14" s="1"/>
  <c r="I78" i="2"/>
  <c r="I24" i="2"/>
  <c r="I17" i="2"/>
  <c r="I90" i="2" s="1"/>
  <c r="I13" i="2"/>
  <c r="I97" i="2" l="1"/>
  <c r="H96" i="2"/>
  <c r="L12" i="2"/>
  <c r="E7" i="3"/>
  <c r="G19" i="2"/>
  <c r="G98" i="2" s="1"/>
  <c r="G99" i="2" s="1"/>
  <c r="G100" i="2" s="1"/>
  <c r="C14" i="14" s="1"/>
  <c r="C15" i="14" s="1"/>
  <c r="C19" i="14" s="1"/>
  <c r="L21" i="2"/>
  <c r="L29" i="2"/>
  <c r="H29" i="2"/>
  <c r="I87" i="2"/>
  <c r="K29" i="2"/>
  <c r="I81" i="2"/>
  <c r="J81" i="2" s="1"/>
  <c r="K81" i="2" s="1"/>
  <c r="L81" i="2" s="1"/>
  <c r="F12" i="3"/>
  <c r="F7" i="3"/>
  <c r="J29" i="2"/>
  <c r="I29" i="2"/>
  <c r="G29" i="2"/>
  <c r="H80" i="2"/>
  <c r="H82" i="2" s="1"/>
  <c r="D12" i="14" s="1"/>
  <c r="D12" i="3"/>
  <c r="D7" i="3"/>
  <c r="I15" i="2"/>
  <c r="I94" i="2"/>
  <c r="I88" i="2"/>
  <c r="F6" i="14"/>
  <c r="F7" i="14" s="1"/>
  <c r="J78" i="2"/>
  <c r="J24" i="2"/>
  <c r="E13" i="14"/>
  <c r="J17" i="2"/>
  <c r="J90" i="2" s="1"/>
  <c r="J13" i="2"/>
  <c r="J15" i="2" s="1"/>
  <c r="J97" i="2" l="1"/>
  <c r="I96" i="2"/>
  <c r="C11" i="12"/>
  <c r="G23" i="2"/>
  <c r="R23" i="2" s="1"/>
  <c r="H19" i="2"/>
  <c r="H98" i="2" s="1"/>
  <c r="H99" i="2" s="1"/>
  <c r="H100" i="2" s="1"/>
  <c r="D14" i="14" s="1"/>
  <c r="I80" i="2"/>
  <c r="I82" i="2" s="1"/>
  <c r="E12" i="14" s="1"/>
  <c r="J87" i="2"/>
  <c r="J86" i="2" s="1"/>
  <c r="I86" i="2"/>
  <c r="J88" i="2"/>
  <c r="J94" i="2"/>
  <c r="G6" i="14"/>
  <c r="G7" i="14" s="1"/>
  <c r="K78" i="2"/>
  <c r="K24" i="2"/>
  <c r="F13" i="14"/>
  <c r="J80" i="2"/>
  <c r="J82" i="2" s="1"/>
  <c r="F12" i="14" s="1"/>
  <c r="K17" i="2"/>
  <c r="K90" i="2" s="1"/>
  <c r="K13" i="2"/>
  <c r="K15" i="2" s="1"/>
  <c r="K97" i="2" l="1"/>
  <c r="J96" i="2"/>
  <c r="C12" i="12"/>
  <c r="C21" i="12" s="1"/>
  <c r="H28" i="2"/>
  <c r="G30" i="2"/>
  <c r="G32" i="2" s="1"/>
  <c r="G26" i="2"/>
  <c r="G27" i="2"/>
  <c r="H23" i="2"/>
  <c r="H27" i="2" s="1"/>
  <c r="K87" i="2"/>
  <c r="K86" i="2" s="1"/>
  <c r="G3" i="3"/>
  <c r="G5" i="3" s="1"/>
  <c r="G7" i="3" s="1"/>
  <c r="G33" i="2"/>
  <c r="G13" i="14"/>
  <c r="K80" i="2"/>
  <c r="K82" i="2" s="1"/>
  <c r="G12" i="14" s="1"/>
  <c r="H6" i="14"/>
  <c r="H7" i="14" s="1"/>
  <c r="L78" i="2"/>
  <c r="L24" i="2"/>
  <c r="K88" i="2"/>
  <c r="K94" i="2"/>
  <c r="L13" i="2"/>
  <c r="L15" i="2" s="1"/>
  <c r="L17" i="2"/>
  <c r="L90" i="2" s="1"/>
  <c r="L97" i="2" l="1"/>
  <c r="L96" i="2" s="1"/>
  <c r="K96" i="2"/>
  <c r="I28" i="2"/>
  <c r="H30" i="2"/>
  <c r="C35" i="14"/>
  <c r="C23" i="14" s="1"/>
  <c r="H26" i="14" s="1"/>
  <c r="H27" i="14" s="1"/>
  <c r="H30" i="14" s="1"/>
  <c r="H32" i="14" s="1"/>
  <c r="D8" i="14"/>
  <c r="D9" i="14" s="1"/>
  <c r="H26" i="2"/>
  <c r="L87" i="2"/>
  <c r="L86" i="2" s="1"/>
  <c r="I19" i="2"/>
  <c r="G18" i="14"/>
  <c r="E18" i="14"/>
  <c r="F18" i="14"/>
  <c r="H18" i="14"/>
  <c r="D11" i="14"/>
  <c r="H13" i="14"/>
  <c r="L80" i="2"/>
  <c r="L82" i="2" s="1"/>
  <c r="H12" i="14" s="1"/>
  <c r="L88" i="2"/>
  <c r="L94" i="2"/>
  <c r="H32" i="2" l="1"/>
  <c r="H33" i="2"/>
  <c r="H3" i="3"/>
  <c r="H5" i="3" s="1"/>
  <c r="H7" i="3" s="1"/>
  <c r="J28" i="2"/>
  <c r="I30" i="2"/>
  <c r="D10" i="14"/>
  <c r="D15" i="14" s="1"/>
  <c r="J19" i="2"/>
  <c r="I23" i="2"/>
  <c r="I98" i="2"/>
  <c r="I99" i="2" s="1"/>
  <c r="I100" i="2" s="1"/>
  <c r="E14" i="14" s="1"/>
  <c r="E11" i="14"/>
  <c r="D19" i="14" l="1"/>
  <c r="D16" i="14"/>
  <c r="I32" i="2"/>
  <c r="I33" i="2"/>
  <c r="K28" i="2"/>
  <c r="J30" i="2"/>
  <c r="I26" i="2"/>
  <c r="I27" i="2"/>
  <c r="E8" i="14"/>
  <c r="E9" i="14" s="1"/>
  <c r="K19" i="2"/>
  <c r="J23" i="2"/>
  <c r="J98" i="2"/>
  <c r="J99" i="2" s="1"/>
  <c r="J100" i="2" s="1"/>
  <c r="F14" i="14" s="1"/>
  <c r="F11" i="14"/>
  <c r="J32" i="2" l="1"/>
  <c r="J33" i="2"/>
  <c r="L28" i="2"/>
  <c r="L30" i="2" s="1"/>
  <c r="K30" i="2"/>
  <c r="E10" i="14"/>
  <c r="E15" i="14" s="1"/>
  <c r="E19" i="14" s="1"/>
  <c r="J26" i="2"/>
  <c r="F8" i="14"/>
  <c r="F9" i="14" s="1"/>
  <c r="J27" i="2"/>
  <c r="L19" i="2"/>
  <c r="K23" i="2"/>
  <c r="K98" i="2"/>
  <c r="K99" i="2" s="1"/>
  <c r="K100" i="2" s="1"/>
  <c r="G14" i="14" s="1"/>
  <c r="G11" i="14"/>
  <c r="K33" i="2" l="1"/>
  <c r="K32" i="2"/>
  <c r="L33" i="2"/>
  <c r="L32" i="2"/>
  <c r="E16" i="14"/>
  <c r="F10" i="14"/>
  <c r="F15" i="14" s="1"/>
  <c r="F19" i="14" s="1"/>
  <c r="K26" i="2"/>
  <c r="K27" i="2"/>
  <c r="G8" i="14"/>
  <c r="L23" i="2"/>
  <c r="L98" i="2"/>
  <c r="L99" i="2" s="1"/>
  <c r="L100" i="2" s="1"/>
  <c r="H14" i="14" s="1"/>
  <c r="H11" i="14"/>
  <c r="F16" i="14" l="1"/>
  <c r="G9" i="14"/>
  <c r="H8" i="14"/>
  <c r="H9" i="14" s="1"/>
  <c r="L27" i="2"/>
  <c r="L26" i="2"/>
  <c r="G10" i="14"/>
  <c r="G15" i="14" s="1"/>
  <c r="C25" i="14" s="1"/>
  <c r="C26" i="14" s="1"/>
  <c r="G16" i="14" l="1"/>
  <c r="G19" i="14"/>
  <c r="H10" i="14"/>
  <c r="H15" i="14" s="1"/>
  <c r="H19" i="14" s="1"/>
  <c r="C27" i="14" l="1"/>
  <c r="C30" i="14" s="1"/>
  <c r="C32" i="14" s="1"/>
  <c r="N31" i="14"/>
  <c r="D39" i="11"/>
  <c r="N22" i="14"/>
  <c r="H1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Sneddon, Abigail</author>
  </authors>
  <commentList>
    <comment ref="E12" authorId="0" shapeId="0" xr:uid="{5B33C288-5C0E-4BFD-9DF7-C677BD629F0D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should be pulling from beta calc here and hardcoded nowhere else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Sneddon, Abigail</author>
  </authors>
  <commentList>
    <comment ref="B20" authorId="0" shapeId="0" xr:uid="{F20C0384-5F9A-45FE-B46A-A191B1EDA4B2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% of CapEx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Sneddon, Abigail</author>
  </authors>
  <commentList>
    <comment ref="F2" authorId="0" shapeId="0" xr:uid="{63185145-BAFE-4EF5-9BEE-1737F60A7184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10-k for ease</t>
        </r>
      </text>
    </comment>
    <comment ref="H2" authorId="0" shapeId="0" xr:uid="{91B03E76-AADF-41FC-AEA8-CB35D3FC80FF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most recent 10-k</t>
        </r>
      </text>
    </comment>
    <comment ref="I2" authorId="0" shapeId="0" xr:uid="{A34D9FCB-AAC4-4356-990D-A071A799D18F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most recent 10-k</t>
        </r>
      </text>
    </comment>
    <comment ref="K2" authorId="0" shapeId="0" xr:uid="{631A6BE1-28C5-4573-BBF2-D85815C03546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most recent 10-k</t>
        </r>
      </text>
    </comment>
    <comment ref="L2" authorId="0" shapeId="0" xr:uid="{93700E03-61B3-4F5C-8A13-6E405284C49A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most recent 10-k</t>
        </r>
      </text>
    </comment>
    <comment ref="M2" authorId="0" shapeId="0" xr:uid="{9AF32506-19FF-4911-B76A-FB9F2875FA77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most recent 10-k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Sneddon, Abigail</author>
  </authors>
  <commentList>
    <comment ref="I11" authorId="0" shapeId="0" xr:uid="{BAAADD68-E699-4766-80BD-773F344AED0F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calculate effective tax rate from historicals and use that</t>
        </r>
      </text>
    </comment>
    <comment ref="H23" authorId="0" shapeId="0" xr:uid="{EECA831B-B5D5-4AD1-A558-EC959927AA2F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make median from comps - want it to be higher than what thye're currently trading</t>
        </r>
      </text>
    </comment>
    <comment ref="C24" authorId="0" shapeId="0" xr:uid="{DAF6EEFD-8DE5-427D-9BD8-F782D04F416D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use 2%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Sneddon, Abigail</author>
  </authors>
  <commentList>
    <comment ref="C6" authorId="0" shapeId="0" xr:uid="{768583A6-E831-4C24-AAB4-34273B86D3AB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10 yr treasury</t>
        </r>
      </text>
    </comment>
    <comment ref="C7" authorId="0" shapeId="0" xr:uid="{DA07FFD2-4D00-4E32-8900-18885B0BF93A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seems low</t>
        </r>
      </text>
    </comment>
    <comment ref="C10" authorId="0" shapeId="0" xr:uid="{C956A04D-6C10-4A66-A742-14605E9AC925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add credit spread to risk free</t>
        </r>
      </text>
    </comment>
    <comment ref="C14" authorId="0" shapeId="0" xr:uid="{0786D8EE-EA7E-4CFA-840C-5998AD348042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pull from beta</t>
        </r>
      </text>
    </comment>
    <comment ref="C15" authorId="0" shapeId="0" xr:uid="{1E704BA4-5431-404F-946E-8E0887502882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fully diluted shared outstanding</t>
        </r>
      </text>
    </comment>
    <comment ref="C21" authorId="0" shapeId="0" xr:uid="{6DD665A0-FBCC-462F-9C5E-87826C899DB9}">
      <text>
        <r>
          <rPr>
            <b/>
            <sz val="9"/>
            <color indexed="81"/>
            <rFont val="Tahoma"/>
            <family val="2"/>
          </rPr>
          <t>Sneddon, Abigail:</t>
        </r>
        <r>
          <rPr>
            <sz val="9"/>
            <color indexed="81"/>
            <rFont val="Tahoma"/>
            <family val="2"/>
          </rPr>
          <t xml:space="preserve">
seems low</t>
        </r>
      </text>
    </comment>
  </commentList>
</comments>
</file>

<file path=xl/sharedStrings.xml><?xml version="1.0" encoding="utf-8"?>
<sst xmlns="http://schemas.openxmlformats.org/spreadsheetml/2006/main" count="413" uniqueCount="298">
  <si>
    <t>Sprouts Farmers Market Inc</t>
  </si>
  <si>
    <t>NASDAQ: SFM</t>
  </si>
  <si>
    <t>Last Updated:</t>
  </si>
  <si>
    <t>Current Price:</t>
  </si>
  <si>
    <t>Target Price:</t>
  </si>
  <si>
    <t>Remaining Upside:</t>
  </si>
  <si>
    <t>Analysts:</t>
  </si>
  <si>
    <t>Dylan Wong</t>
  </si>
  <si>
    <t>Jordan Sie</t>
  </si>
  <si>
    <t>x</t>
  </si>
  <si>
    <t>Sprouts Farmers Markets Inc</t>
  </si>
  <si>
    <t>Projections</t>
  </si>
  <si>
    <t>Dollars in thousands</t>
  </si>
  <si>
    <t>Income Statement</t>
  </si>
  <si>
    <t>Comments</t>
  </si>
  <si>
    <t>Revenue:</t>
  </si>
  <si>
    <t>Perishables</t>
  </si>
  <si>
    <t>% Growth</t>
  </si>
  <si>
    <t>Non-perishables</t>
  </si>
  <si>
    <t>Net Sales</t>
  </si>
  <si>
    <t>Historically, SFM growing at 7.68 YOY, and has done exceptionally well during recessions (2020), and Organic food market growing at 11.4% YoY</t>
  </si>
  <si>
    <t>Cost of Sales</t>
  </si>
  <si>
    <t>% of Revenue</t>
  </si>
  <si>
    <t>Flat line</t>
  </si>
  <si>
    <t>Gross profit</t>
  </si>
  <si>
    <t>Operating expenses:</t>
  </si>
  <si>
    <t>SG&amp;A</t>
  </si>
  <si>
    <t>Depreciation and amortization</t>
  </si>
  <si>
    <t>% of CapEx</t>
  </si>
  <si>
    <t>Other expenses</t>
  </si>
  <si>
    <t>Income from operations</t>
  </si>
  <si>
    <t>Interest expense, net</t>
  </si>
  <si>
    <t>Secured new $700Mil revolving credit line (increased from $418Mil)</t>
  </si>
  <si>
    <t>Interest Coverage Ratio</t>
  </si>
  <si>
    <t>Income before income taxes</t>
  </si>
  <si>
    <t>Income tax provision</t>
  </si>
  <si>
    <t>Effective Tax Rate</t>
  </si>
  <si>
    <t>Net income</t>
  </si>
  <si>
    <t>Net income per share:</t>
  </si>
  <si>
    <t>Basic</t>
  </si>
  <si>
    <t>Diluted</t>
  </si>
  <si>
    <t>Weighted average shares outstanding:</t>
  </si>
  <si>
    <t xml:space="preserve">Basic </t>
  </si>
  <si>
    <t>Balance Sheet</t>
  </si>
  <si>
    <t>Assets</t>
  </si>
  <si>
    <t>Current assets:</t>
  </si>
  <si>
    <t>Cash and cash equivalents</t>
  </si>
  <si>
    <t>Accounts receivable, net</t>
  </si>
  <si>
    <t>Inventories</t>
  </si>
  <si>
    <t>Prepaid expenses and other current assets</t>
  </si>
  <si>
    <t>Total current assets</t>
  </si>
  <si>
    <t>Property and equipment, net of accumulated deprecitation</t>
  </si>
  <si>
    <t>Operating lease assets, net</t>
  </si>
  <si>
    <t>Intangible assets, net of accumulated amortization</t>
  </si>
  <si>
    <t>Goodwill</t>
  </si>
  <si>
    <t>Other assets</t>
  </si>
  <si>
    <t>Total assets</t>
  </si>
  <si>
    <t>Liabilities and stockholders' equity</t>
  </si>
  <si>
    <t>Current liabilities:</t>
  </si>
  <si>
    <t>Accounts payable</t>
  </si>
  <si>
    <t>Accounts liabilities</t>
  </si>
  <si>
    <t>Accrued salaries and benefits</t>
  </si>
  <si>
    <t>Accrued income tax</t>
  </si>
  <si>
    <t>Current portion of operating lease liabilities</t>
  </si>
  <si>
    <t>Current portion of finance lease liabilities</t>
  </si>
  <si>
    <t>Total current liabilities</t>
  </si>
  <si>
    <t>Long-term operating lease liabilities</t>
  </si>
  <si>
    <t>Long-term debt and finance lease liabilities</t>
  </si>
  <si>
    <t>Other long-term liabilities</t>
  </si>
  <si>
    <t>Deferred income tax liability</t>
  </si>
  <si>
    <t>Total liabilities</t>
  </si>
  <si>
    <t>Stockholders' equity:</t>
  </si>
  <si>
    <t>Preferred stock</t>
  </si>
  <si>
    <t>Common stock</t>
  </si>
  <si>
    <t>Additional paid-in-capital</t>
  </si>
  <si>
    <t>Accumulated other comprehensive loss</t>
  </si>
  <si>
    <t>Retained earnings (Accumulated deficit)</t>
  </si>
  <si>
    <t>Total stockholders' equity</t>
  </si>
  <si>
    <t>Total liabilities and stockholders' equity</t>
  </si>
  <si>
    <t>Cash Flow Adjustments</t>
  </si>
  <si>
    <t>CapEx</t>
  </si>
  <si>
    <t>% of Sales</t>
  </si>
  <si>
    <t>Depreciation &amp; Amortization</t>
  </si>
  <si>
    <t>average?</t>
  </si>
  <si>
    <t>Total D&amp;A</t>
  </si>
  <si>
    <t>NWC</t>
  </si>
  <si>
    <t>Current Assets:</t>
  </si>
  <si>
    <t>Accounts Receivable</t>
  </si>
  <si>
    <t>DSO</t>
  </si>
  <si>
    <t>Inventory</t>
  </si>
  <si>
    <t>DIO</t>
  </si>
  <si>
    <t>Prepaid expenses</t>
  </si>
  <si>
    <t>% of SG&amp;A</t>
  </si>
  <si>
    <t>Total Current Assets</t>
  </si>
  <si>
    <t>Current Liabilities:</t>
  </si>
  <si>
    <t>Accounts Payable</t>
  </si>
  <si>
    <t>DPO</t>
  </si>
  <si>
    <t>Accrued Liabilities</t>
  </si>
  <si>
    <t>Total Current Liabilities</t>
  </si>
  <si>
    <t>Change in NWC</t>
  </si>
  <si>
    <t>Cash Flow Statement</t>
  </si>
  <si>
    <t>Cash flows from operating activities</t>
  </si>
  <si>
    <t>Net incomes</t>
  </si>
  <si>
    <t>Adjustments to reconcile net income to net cash provided by operating acitivites:</t>
  </si>
  <si>
    <t>Deprecitation and amortization expense</t>
  </si>
  <si>
    <t>Operating lease asset amortization</t>
  </si>
  <si>
    <t>Store closure and other costs, net</t>
  </si>
  <si>
    <t>Share-based compensation</t>
  </si>
  <si>
    <t>Deferred income taxes</t>
  </si>
  <si>
    <t>Other non-cash items</t>
  </si>
  <si>
    <t>Changes in operating assets and liabilities:</t>
  </si>
  <si>
    <t>Accounts receivable</t>
  </si>
  <si>
    <t>Prepaid expense and other current assets</t>
  </si>
  <si>
    <t>Accrued liabilities</t>
  </si>
  <si>
    <t>Operating lease liabilities</t>
  </si>
  <si>
    <t>Cash flows from investing activities</t>
  </si>
  <si>
    <t>Purchases of property and equipment</t>
  </si>
  <si>
    <t>Cash flows used in investing activities</t>
  </si>
  <si>
    <t>Cash flows from financing activities</t>
  </si>
  <si>
    <t>Proceeds from revolving credit facilities</t>
  </si>
  <si>
    <t>Payments on revolving credit facilities</t>
  </si>
  <si>
    <t>Payments on finance lease liabilities</t>
  </si>
  <si>
    <t>Payments of deferred financing costs</t>
  </si>
  <si>
    <t>Repurchase of common stock</t>
  </si>
  <si>
    <t>Proceeds from exercise of stock options</t>
  </si>
  <si>
    <t>Other</t>
  </si>
  <si>
    <t>Cash flows used in financing activities</t>
  </si>
  <si>
    <t>Increase / (Decrease) in cash, cash equivalents, and restricted cash</t>
  </si>
  <si>
    <t>Cash, cash equivalents, and restricted cash at beginning of the period</t>
  </si>
  <si>
    <t>Cash, cash equivalents, and restricted cash at the end of the period</t>
  </si>
  <si>
    <t>Supplemental disclosure of cash flow information</t>
  </si>
  <si>
    <t>Cash paid for interest</t>
  </si>
  <si>
    <t>Cash paid for income taxes</t>
  </si>
  <si>
    <t>Leased assets obtained in exchange for new operating lease liabilities</t>
  </si>
  <si>
    <t>Supplemental disclosure of non-cash investing and financing activities</t>
  </si>
  <si>
    <t>Property and equipment in accounts payable</t>
  </si>
  <si>
    <t>S&amp;P 500</t>
  </si>
  <si>
    <t>Date</t>
  </si>
  <si>
    <t>Close</t>
  </si>
  <si>
    <t>rm</t>
  </si>
  <si>
    <t>rSFM</t>
  </si>
  <si>
    <t>Beta (5yr)</t>
  </si>
  <si>
    <t>S&amp;P</t>
  </si>
  <si>
    <t>SFM</t>
  </si>
  <si>
    <t>Beta (4yr)</t>
  </si>
  <si>
    <t>Beta (3yr)</t>
  </si>
  <si>
    <t>Beta (2yr)</t>
  </si>
  <si>
    <t>Beta (1yr)</t>
  </si>
  <si>
    <t>Beta (6m)</t>
  </si>
  <si>
    <t>Ticker</t>
  </si>
  <si>
    <t>Name</t>
  </si>
  <si>
    <t>Share Price</t>
  </si>
  <si>
    <t>Diluted Shares Outstanding</t>
  </si>
  <si>
    <t>Market Capitalization</t>
  </si>
  <si>
    <t>Debt</t>
  </si>
  <si>
    <t>Cash</t>
  </si>
  <si>
    <t>Enterprise Value</t>
  </si>
  <si>
    <t>EBITDA</t>
  </si>
  <si>
    <t>Revenue</t>
  </si>
  <si>
    <t>EPS</t>
  </si>
  <si>
    <t>EV/EBITDA</t>
  </si>
  <si>
    <t>EV/Revenue</t>
  </si>
  <si>
    <t>P/E</t>
  </si>
  <si>
    <t>Sprouts Farmers Market</t>
  </si>
  <si>
    <t>KR</t>
  </si>
  <si>
    <t>Kroger Co</t>
  </si>
  <si>
    <t>GO</t>
  </si>
  <si>
    <t>Grocery Outlet Holding Corp</t>
  </si>
  <si>
    <t>ACI</t>
  </si>
  <si>
    <t>Albertsons Companies Inc</t>
  </si>
  <si>
    <t>TGT</t>
  </si>
  <si>
    <t>Target Corp</t>
  </si>
  <si>
    <t>WMT</t>
  </si>
  <si>
    <t>Walmart Inc</t>
  </si>
  <si>
    <t>COST</t>
  </si>
  <si>
    <t>Costco Wholesale Corporation </t>
  </si>
  <si>
    <t>Median</t>
  </si>
  <si>
    <t>Min</t>
  </si>
  <si>
    <t>Q1</t>
  </si>
  <si>
    <t>Q3</t>
  </si>
  <si>
    <t>Max</t>
  </si>
  <si>
    <t>Mean</t>
  </si>
  <si>
    <t>Multiple</t>
  </si>
  <si>
    <t>Spread</t>
  </si>
  <si>
    <t>DCF Growth</t>
  </si>
  <si>
    <t>DCF Multiples</t>
  </si>
  <si>
    <t>Bull Case</t>
  </si>
  <si>
    <t>2019A</t>
  </si>
  <si>
    <t>2020A</t>
  </si>
  <si>
    <t>2021A</t>
  </si>
  <si>
    <t>2022A</t>
  </si>
  <si>
    <t>2023E</t>
  </si>
  <si>
    <t>2024E</t>
  </si>
  <si>
    <t>SFM EPS</t>
  </si>
  <si>
    <t>S&amp;P EPS</t>
  </si>
  <si>
    <t>SFM P/E</t>
  </si>
  <si>
    <t>Expected valuation at $40/share</t>
  </si>
  <si>
    <t>S&amp;P P/E</t>
  </si>
  <si>
    <t>Relative P/E</t>
  </si>
  <si>
    <t>Bear Case</t>
  </si>
  <si>
    <t>Expected valuation at $30/share</t>
  </si>
  <si>
    <t>Discounted Cash Flow Analysis</t>
  </si>
  <si>
    <t>FCF Calculation</t>
  </si>
  <si>
    <t>EBIT</t>
  </si>
  <si>
    <t>income from operations</t>
  </si>
  <si>
    <t>EBIT Margin</t>
  </si>
  <si>
    <t>EBIT/revenue</t>
  </si>
  <si>
    <t>NOPAT</t>
  </si>
  <si>
    <t>operatingIncome*(1-taxRate)</t>
  </si>
  <si>
    <t>Tax Rate</t>
  </si>
  <si>
    <t>historical effective tax rate</t>
  </si>
  <si>
    <t>Plus: D&amp;A</t>
  </si>
  <si>
    <t>Less: CapEx</t>
  </si>
  <si>
    <t>Less: Change in NWC</t>
  </si>
  <si>
    <t>FCFF</t>
  </si>
  <si>
    <t>NOPAT+D&amp;A-CapEx-ChangeinNWC</t>
  </si>
  <si>
    <t>Discount Period</t>
  </si>
  <si>
    <t>Discount Factor</t>
  </si>
  <si>
    <t>1/(1+WACC)^n (idk if this is right)</t>
  </si>
  <si>
    <t>PV of Cash Flows</t>
  </si>
  <si>
    <t>Gordon Growth Method</t>
  </si>
  <si>
    <t>Multiples Method</t>
  </si>
  <si>
    <t>WACC</t>
  </si>
  <si>
    <t>Terminal CF</t>
  </si>
  <si>
    <t>Terminal EBITDA</t>
  </si>
  <si>
    <t>EV/EBITDA Multiple</t>
  </si>
  <si>
    <t>Growth Rate</t>
  </si>
  <si>
    <t>Terminal Growth Rate</t>
  </si>
  <si>
    <t>Terminal Value</t>
  </si>
  <si>
    <t>PV of Terminal Value</t>
  </si>
  <si>
    <t>Less: Debt</t>
  </si>
  <si>
    <t>Plus: Cash</t>
  </si>
  <si>
    <t>2022 cash balance?</t>
  </si>
  <si>
    <t>Equity Value</t>
  </si>
  <si>
    <t>Price Per Share</t>
  </si>
  <si>
    <t>Bear</t>
  </si>
  <si>
    <t>Base</t>
  </si>
  <si>
    <t>Valuation</t>
  </si>
  <si>
    <t>Weight</t>
  </si>
  <si>
    <t>Bull</t>
  </si>
  <si>
    <t>Price Target</t>
  </si>
  <si>
    <t>WACC Calculation</t>
  </si>
  <si>
    <t>Outstanding Bonds:</t>
  </si>
  <si>
    <t>Market Risk Premium</t>
  </si>
  <si>
    <t>Value Investing stated market risk premium</t>
  </si>
  <si>
    <t>Maturity Date</t>
  </si>
  <si>
    <t>Oustanding Amt.</t>
  </si>
  <si>
    <t>Rate</t>
  </si>
  <si>
    <t>Risk Free Rate</t>
  </si>
  <si>
    <t>no bonds? Only long term debt (probs wrong)</t>
  </si>
  <si>
    <t>Beta</t>
  </si>
  <si>
    <t>5yr avg</t>
  </si>
  <si>
    <t>Cost of Equity</t>
  </si>
  <si>
    <t>beta*riskPremium+riskFreeRate</t>
  </si>
  <si>
    <t>Pre-Tax Cost of Debt</t>
  </si>
  <si>
    <t>Former Credit Facility spread between 1.25% and 2.00% or prime plus spread between 0.25% and 1.00%</t>
  </si>
  <si>
    <t>from 2022 SFM 10k</t>
  </si>
  <si>
    <t>After-Tax Cost of Debt</t>
  </si>
  <si>
    <t>Stock Price</t>
  </si>
  <si>
    <t>as of 12/1/2023</t>
  </si>
  <si>
    <t>Shares Oustanding</t>
  </si>
  <si>
    <t>as of Nov 2023</t>
  </si>
  <si>
    <t>Equity</t>
  </si>
  <si>
    <t>sharePrice*sharesOustanding</t>
  </si>
  <si>
    <t>long-term debt</t>
  </si>
  <si>
    <t>Weight of Equity</t>
  </si>
  <si>
    <t>Weight of Debt</t>
  </si>
  <si>
    <t>Current SFM Price</t>
  </si>
  <si>
    <t>stockPrice*sharesOustanding</t>
  </si>
  <si>
    <t>Revenue Model</t>
  </si>
  <si>
    <t>State</t>
  </si>
  <si>
    <t>Number</t>
  </si>
  <si>
    <t>Alabama</t>
  </si>
  <si>
    <t>Arizona</t>
  </si>
  <si>
    <t>California</t>
  </si>
  <si>
    <t>Colorado</t>
  </si>
  <si>
    <t>Delaware</t>
  </si>
  <si>
    <t>Florida</t>
  </si>
  <si>
    <t>Georgia</t>
  </si>
  <si>
    <t>Kansas</t>
  </si>
  <si>
    <t>Louisiana</t>
  </si>
  <si>
    <t>Maryland</t>
  </si>
  <si>
    <t>Missouri</t>
  </si>
  <si>
    <t>Nevada</t>
  </si>
  <si>
    <t>New Jersey</t>
  </si>
  <si>
    <t>New Mexico</t>
  </si>
  <si>
    <t>North Carolina</t>
  </si>
  <si>
    <t>Oklahoma</t>
  </si>
  <si>
    <t>Pensylvania</t>
  </si>
  <si>
    <t>South Carolina</t>
  </si>
  <si>
    <t>Tennesse</t>
  </si>
  <si>
    <t>Texas</t>
  </si>
  <si>
    <t>Utah</t>
  </si>
  <si>
    <t>Virginia</t>
  </si>
  <si>
    <t>Washington</t>
  </si>
  <si>
    <t>Company</t>
  </si>
  <si>
    <t>Operating Margin</t>
  </si>
  <si>
    <t>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</si>
</sst>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  <numFmt numFmtId="166" formatCode="0.00\x"/>
    <numFmt numFmtId="167" formatCode="0.0%"/>
    <numFmt numFmtId="168" formatCode="_([$$-409]* #,##0.00_);_([$$-409]* \(#,##0.00\);_([$$-409]* &quot;-&quot;??_);_(@_)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Garamond"/>
      <family val="1"/>
    </font>
    <font>
      <b/>
      <sz val="11"/>
      <color theme="1"/>
      <name val="Garamond"/>
      <family val="1"/>
    </font>
    <font>
      <b/>
      <sz val="11"/>
      <color theme="0"/>
      <name val="Garamond"/>
      <family val="1"/>
    </font>
    <font>
      <b/>
      <sz val="11"/>
      <color rgb="FFFFFFFF"/>
      <name val="Garamond"/>
      <family val="1"/>
    </font>
    <font>
      <sz val="11"/>
      <color theme="4"/>
      <name val="Garamond"/>
      <family val="1"/>
    </font>
    <font>
      <sz val="11"/>
      <color rgb="FFFFFFFF"/>
      <name val="Garamond"/>
      <family val="1"/>
    </font>
    <font>
      <i/>
      <sz val="11"/>
      <color theme="1"/>
      <name val="Garamond"/>
      <family val="1"/>
    </font>
    <font>
      <b/>
      <u/>
      <sz val="11"/>
      <color theme="1"/>
      <name val="Garamond"/>
      <family val="1"/>
    </font>
    <font>
      <sz val="11"/>
      <color rgb="FF000000"/>
      <name val="Garamond"/>
      <family val="1"/>
    </font>
    <font>
      <sz val="11"/>
      <name val="Garamond"/>
      <family val="1"/>
    </font>
    <font>
      <sz val="11"/>
      <color theme="8" tint="-0.249977111117893"/>
      <name val="Garamond"/>
      <family val="1"/>
    </font>
    <font>
      <sz val="11"/>
      <color theme="0"/>
      <name val="Garamond"/>
      <family val="1"/>
    </font>
    <font>
      <sz val="11"/>
      <color rgb="FF0000FF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000000"/>
      <name val="Garamond"/>
      <family val="1"/>
    </font>
    <font>
      <b/>
      <sz val="11"/>
      <color rgb="FF000000"/>
      <name val="Garamond"/>
      <family val="1"/>
    </font>
    <font>
      <sz val="11"/>
      <color rgb="FF008000"/>
      <name val="Garamond"/>
      <family val="1"/>
    </font>
    <font>
      <sz val="11"/>
      <color rgb="FFFF0000"/>
      <name val="Garamond"/>
      <family val="1"/>
    </font>
    <font>
      <sz val="11"/>
      <color theme="1"/>
      <name val="Garamond"/>
    </font>
    <font>
      <b/>
      <sz val="11"/>
      <color theme="1"/>
      <name val="Garamond"/>
    </font>
  </fonts>
  <fills count="1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548235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FCFFFF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3" fillId="2" borderId="1" xfId="0" applyFont="1" applyFill="1" applyBorder="1" applyAlignment="1">
      <alignment horizontal="centerContinuous"/>
    </xf>
    <xf numFmtId="0" fontId="3" fillId="2" borderId="2" xfId="0" applyFont="1" applyFill="1" applyBorder="1" applyAlignment="1">
      <alignment horizontal="centerContinuous"/>
    </xf>
    <xf numFmtId="0" fontId="3" fillId="2" borderId="3" xfId="0" applyFont="1" applyFill="1" applyBorder="1" applyAlignment="1">
      <alignment horizontal="centerContinuous"/>
    </xf>
    <xf numFmtId="0" fontId="3" fillId="2" borderId="6" xfId="0" applyFont="1" applyFill="1" applyBorder="1" applyAlignment="1">
      <alignment horizontal="centerContinuous"/>
    </xf>
    <xf numFmtId="0" fontId="3" fillId="2" borderId="7" xfId="0" applyFont="1" applyFill="1" applyBorder="1" applyAlignment="1">
      <alignment horizontal="centerContinuous"/>
    </xf>
    <xf numFmtId="0" fontId="3" fillId="2" borderId="8" xfId="0" applyFont="1" applyFill="1" applyBorder="1" applyAlignment="1">
      <alignment horizontal="centerContinuous"/>
    </xf>
    <xf numFmtId="0" fontId="3" fillId="2" borderId="4" xfId="0" applyFont="1" applyFill="1" applyBorder="1"/>
    <xf numFmtId="0" fontId="3" fillId="2" borderId="0" xfId="0" applyFont="1" applyFill="1"/>
    <xf numFmtId="0" fontId="3" fillId="2" borderId="5" xfId="0" applyFont="1" applyFill="1" applyBorder="1" applyAlignment="1">
      <alignment horizontal="right"/>
    </xf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 applyAlignment="1">
      <alignment horizontal="right"/>
    </xf>
    <xf numFmtId="0" fontId="4" fillId="3" borderId="0" xfId="0" applyFont="1" applyFill="1"/>
    <xf numFmtId="0" fontId="5" fillId="4" borderId="0" xfId="0" applyFont="1" applyFill="1"/>
    <xf numFmtId="164" fontId="6" fillId="0" borderId="0" xfId="1" applyNumberFormat="1" applyFont="1"/>
    <xf numFmtId="164" fontId="2" fillId="0" borderId="0" xfId="1" applyNumberFormat="1" applyFont="1"/>
    <xf numFmtId="44" fontId="2" fillId="0" borderId="0" xfId="2" applyFont="1"/>
    <xf numFmtId="44" fontId="6" fillId="0" borderId="0" xfId="2" applyFont="1"/>
    <xf numFmtId="165" fontId="2" fillId="0" borderId="0" xfId="2" applyNumberFormat="1" applyFont="1"/>
    <xf numFmtId="165" fontId="6" fillId="0" borderId="0" xfId="2" applyNumberFormat="1" applyFont="1"/>
    <xf numFmtId="0" fontId="3" fillId="0" borderId="9" xfId="0" applyFont="1" applyBorder="1"/>
    <xf numFmtId="0" fontId="3" fillId="2" borderId="9" xfId="0" applyFont="1" applyFill="1" applyBorder="1"/>
    <xf numFmtId="165" fontId="3" fillId="2" borderId="9" xfId="2" applyNumberFormat="1" applyFont="1" applyFill="1" applyBorder="1"/>
    <xf numFmtId="164" fontId="2" fillId="2" borderId="9" xfId="1" applyNumberFormat="1" applyFont="1" applyFill="1" applyBorder="1"/>
    <xf numFmtId="164" fontId="3" fillId="2" borderId="9" xfId="1" applyNumberFormat="1" applyFont="1" applyFill="1" applyBorder="1"/>
    <xf numFmtId="164" fontId="2" fillId="0" borderId="0" xfId="1" applyNumberFormat="1" applyFont="1" applyFill="1" applyBorder="1"/>
    <xf numFmtId="0" fontId="7" fillId="0" borderId="0" xfId="0" applyFont="1"/>
    <xf numFmtId="164" fontId="3" fillId="0" borderId="9" xfId="1" applyNumberFormat="1" applyFont="1" applyBorder="1"/>
    <xf numFmtId="0" fontId="8" fillId="0" borderId="0" xfId="0" applyFont="1" applyAlignment="1">
      <alignment horizontal="left" indent="1"/>
    </xf>
    <xf numFmtId="0" fontId="9" fillId="0" borderId="0" xfId="0" applyFont="1"/>
    <xf numFmtId="0" fontId="4" fillId="5" borderId="0" xfId="0" applyFont="1" applyFill="1"/>
    <xf numFmtId="0" fontId="4" fillId="5" borderId="10" xfId="0" applyFont="1" applyFill="1" applyBorder="1"/>
    <xf numFmtId="14" fontId="2" fillId="0" borderId="0" xfId="0" applyNumberFormat="1" applyFont="1"/>
    <xf numFmtId="0" fontId="4" fillId="5" borderId="4" xfId="0" applyFont="1" applyFill="1" applyBorder="1"/>
    <xf numFmtId="0" fontId="4" fillId="5" borderId="6" xfId="0" applyFont="1" applyFill="1" applyBorder="1"/>
    <xf numFmtId="0" fontId="10" fillId="0" borderId="0" xfId="0" applyFont="1"/>
    <xf numFmtId="0" fontId="8" fillId="0" borderId="0" xfId="0" applyFont="1"/>
    <xf numFmtId="10" fontId="6" fillId="0" borderId="0" xfId="3" applyNumberFormat="1" applyFont="1"/>
    <xf numFmtId="10" fontId="2" fillId="0" borderId="0" xfId="3" applyNumberFormat="1" applyFont="1"/>
    <xf numFmtId="43" fontId="2" fillId="0" borderId="0" xfId="1" applyFont="1"/>
    <xf numFmtId="10" fontId="11" fillId="0" borderId="0" xfId="3" applyNumberFormat="1" applyFont="1"/>
    <xf numFmtId="9" fontId="2" fillId="0" borderId="0" xfId="3" applyFont="1"/>
    <xf numFmtId="164" fontId="12" fillId="0" borderId="0" xfId="1" applyNumberFormat="1" applyFont="1"/>
    <xf numFmtId="166" fontId="3" fillId="0" borderId="0" xfId="0" applyNumberFormat="1" applyFont="1"/>
    <xf numFmtId="166" fontId="2" fillId="0" borderId="0" xfId="0" applyNumberFormat="1" applyFont="1"/>
    <xf numFmtId="166" fontId="2" fillId="0" borderId="0" xfId="2" applyNumberFormat="1" applyFont="1"/>
    <xf numFmtId="0" fontId="4" fillId="5" borderId="0" xfId="0" applyFont="1" applyFill="1" applyAlignment="1">
      <alignment horizontal="right"/>
    </xf>
    <xf numFmtId="44" fontId="2" fillId="0" borderId="0" xfId="0" applyNumberFormat="1" applyFont="1"/>
    <xf numFmtId="10" fontId="2" fillId="0" borderId="0" xfId="0" applyNumberFormat="1" applyFont="1"/>
    <xf numFmtId="0" fontId="3" fillId="6" borderId="0" xfId="0" applyFont="1" applyFill="1"/>
    <xf numFmtId="0" fontId="2" fillId="6" borderId="0" xfId="0" applyFont="1" applyFill="1"/>
    <xf numFmtId="2" fontId="2" fillId="0" borderId="0" xfId="0" applyNumberFormat="1" applyFont="1"/>
    <xf numFmtId="164" fontId="2" fillId="0" borderId="0" xfId="0" applyNumberFormat="1" applyFont="1"/>
    <xf numFmtId="44" fontId="2" fillId="0" borderId="3" xfId="0" applyNumberFormat="1" applyFont="1" applyBorder="1"/>
    <xf numFmtId="165" fontId="2" fillId="0" borderId="5" xfId="2" applyNumberFormat="1" applyFont="1" applyBorder="1"/>
    <xf numFmtId="0" fontId="2" fillId="0" borderId="6" xfId="0" applyFont="1" applyBorder="1"/>
    <xf numFmtId="165" fontId="2" fillId="0" borderId="8" xfId="2" applyNumberFormat="1" applyFont="1" applyBorder="1"/>
    <xf numFmtId="0" fontId="3" fillId="6" borderId="9" xfId="0" applyFont="1" applyFill="1" applyBorder="1"/>
    <xf numFmtId="0" fontId="2" fillId="6" borderId="9" xfId="0" applyFont="1" applyFill="1" applyBorder="1"/>
    <xf numFmtId="0" fontId="3" fillId="0" borderId="2" xfId="0" applyFont="1" applyBorder="1"/>
    <xf numFmtId="164" fontId="2" fillId="6" borderId="9" xfId="0" applyNumberFormat="1" applyFont="1" applyFill="1" applyBorder="1"/>
    <xf numFmtId="0" fontId="2" fillId="6" borderId="1" xfId="0" applyFont="1" applyFill="1" applyBorder="1"/>
    <xf numFmtId="0" fontId="2" fillId="6" borderId="4" xfId="0" applyFont="1" applyFill="1" applyBorder="1"/>
    <xf numFmtId="0" fontId="2" fillId="6" borderId="6" xfId="0" applyFont="1" applyFill="1" applyBorder="1"/>
    <xf numFmtId="164" fontId="2" fillId="0" borderId="2" xfId="0" applyNumberFormat="1" applyFont="1" applyBorder="1"/>
    <xf numFmtId="2" fontId="2" fillId="6" borderId="9" xfId="0" applyNumberFormat="1" applyFont="1" applyFill="1" applyBorder="1"/>
    <xf numFmtId="0" fontId="13" fillId="7" borderId="0" xfId="0" applyFont="1" applyFill="1"/>
    <xf numFmtId="44" fontId="2" fillId="6" borderId="0" xfId="0" applyNumberFormat="1" applyFont="1" applyFill="1"/>
    <xf numFmtId="10" fontId="2" fillId="6" borderId="0" xfId="0" applyNumberFormat="1" applyFont="1" applyFill="1"/>
    <xf numFmtId="166" fontId="2" fillId="6" borderId="0" xfId="0" applyNumberFormat="1" applyFont="1" applyFill="1"/>
    <xf numFmtId="10" fontId="2" fillId="6" borderId="0" xfId="3" applyNumberFormat="1" applyFont="1" applyFill="1"/>
    <xf numFmtId="9" fontId="10" fillId="0" borderId="0" xfId="3" applyFont="1"/>
    <xf numFmtId="167" fontId="10" fillId="0" borderId="0" xfId="3" applyNumberFormat="1" applyFont="1"/>
    <xf numFmtId="167" fontId="2" fillId="0" borderId="0" xfId="3" applyNumberFormat="1" applyFont="1"/>
    <xf numFmtId="0" fontId="14" fillId="0" borderId="0" xfId="0" applyFont="1"/>
    <xf numFmtId="166" fontId="10" fillId="0" borderId="0" xfId="0" applyNumberFormat="1" applyFont="1"/>
    <xf numFmtId="0" fontId="5" fillId="5" borderId="0" xfId="0" applyFont="1" applyFill="1"/>
    <xf numFmtId="0" fontId="5" fillId="5" borderId="0" xfId="0" applyFont="1" applyFill="1" applyAlignment="1">
      <alignment wrapText="1"/>
    </xf>
    <xf numFmtId="0" fontId="5" fillId="8" borderId="0" xfId="0" applyFont="1" applyFill="1" applyAlignment="1">
      <alignment wrapText="1"/>
    </xf>
    <xf numFmtId="10" fontId="10" fillId="0" borderId="0" xfId="0" applyNumberFormat="1" applyFont="1"/>
    <xf numFmtId="10" fontId="14" fillId="0" borderId="0" xfId="0" applyNumberFormat="1" applyFont="1"/>
    <xf numFmtId="166" fontId="14" fillId="0" borderId="0" xfId="0" applyNumberFormat="1" applyFont="1"/>
    <xf numFmtId="10" fontId="14" fillId="6" borderId="5" xfId="0" applyNumberFormat="1" applyFont="1" applyFill="1" applyBorder="1"/>
    <xf numFmtId="10" fontId="14" fillId="6" borderId="3" xfId="0" applyNumberFormat="1" applyFont="1" applyFill="1" applyBorder="1"/>
    <xf numFmtId="166" fontId="14" fillId="6" borderId="8" xfId="0" applyNumberFormat="1" applyFont="1" applyFill="1" applyBorder="1"/>
    <xf numFmtId="0" fontId="17" fillId="0" borderId="0" xfId="0" applyFont="1"/>
    <xf numFmtId="10" fontId="10" fillId="0" borderId="0" xfId="3" applyNumberFormat="1" applyFont="1"/>
    <xf numFmtId="165" fontId="18" fillId="2" borderId="9" xfId="2" applyNumberFormat="1" applyFont="1" applyFill="1" applyBorder="1"/>
    <xf numFmtId="10" fontId="19" fillId="0" borderId="0" xfId="0" applyNumberFormat="1" applyFont="1"/>
    <xf numFmtId="10" fontId="14" fillId="0" borderId="0" xfId="3" applyNumberFormat="1" applyFont="1"/>
    <xf numFmtId="2" fontId="19" fillId="0" borderId="0" xfId="0" applyNumberFormat="1" applyFont="1"/>
    <xf numFmtId="164" fontId="10" fillId="0" borderId="0" xfId="1" applyNumberFormat="1" applyFont="1"/>
    <xf numFmtId="164" fontId="19" fillId="0" borderId="0" xfId="1" applyNumberFormat="1" applyFont="1"/>
    <xf numFmtId="164" fontId="14" fillId="0" borderId="0" xfId="1" applyNumberFormat="1" applyFont="1"/>
    <xf numFmtId="43" fontId="10" fillId="0" borderId="0" xfId="1" applyFont="1" applyFill="1" applyBorder="1" applyAlignment="1"/>
    <xf numFmtId="164" fontId="18" fillId="2" borderId="9" xfId="1" applyNumberFormat="1" applyFont="1" applyFill="1" applyBorder="1"/>
    <xf numFmtId="44" fontId="14" fillId="0" borderId="0" xfId="2" applyFont="1"/>
    <xf numFmtId="165" fontId="20" fillId="0" borderId="0" xfId="2" applyNumberFormat="1" applyFont="1"/>
    <xf numFmtId="165" fontId="19" fillId="0" borderId="0" xfId="2" applyNumberFormat="1" applyFont="1"/>
    <xf numFmtId="10" fontId="18" fillId="6" borderId="0" xfId="3" applyNumberFormat="1" applyFont="1" applyFill="1"/>
    <xf numFmtId="0" fontId="18" fillId="0" borderId="0" xfId="0" applyFont="1"/>
    <xf numFmtId="164" fontId="10" fillId="0" borderId="0" xfId="0" applyNumberFormat="1" applyFont="1"/>
    <xf numFmtId="164" fontId="6" fillId="0" borderId="0" xfId="0" applyNumberFormat="1" applyFont="1"/>
    <xf numFmtId="10" fontId="10" fillId="0" borderId="0" xfId="3" applyNumberFormat="1" applyFont="1" applyFill="1" applyBorder="1" applyAlignment="1"/>
    <xf numFmtId="43" fontId="6" fillId="0" borderId="0" xfId="1" applyFont="1" applyFill="1" applyBorder="1" applyAlignment="1"/>
    <xf numFmtId="2" fontId="10" fillId="0" borderId="11" xfId="3" applyNumberFormat="1" applyFont="1" applyBorder="1"/>
    <xf numFmtId="2" fontId="2" fillId="0" borderId="5" xfId="3" applyNumberFormat="1" applyFont="1" applyBorder="1"/>
    <xf numFmtId="2" fontId="2" fillId="0" borderId="8" xfId="3" applyNumberFormat="1" applyFont="1" applyBorder="1"/>
    <xf numFmtId="44" fontId="3" fillId="2" borderId="5" xfId="0" applyNumberFormat="1" applyFont="1" applyFill="1" applyBorder="1" applyAlignment="1">
      <alignment horizontal="right"/>
    </xf>
    <xf numFmtId="2" fontId="2" fillId="0" borderId="13" xfId="0" applyNumberFormat="1" applyFont="1" applyBorder="1"/>
    <xf numFmtId="0" fontId="4" fillId="5" borderId="12" xfId="0" applyFont="1" applyFill="1" applyBorder="1"/>
    <xf numFmtId="164" fontId="2" fillId="0" borderId="0" xfId="1" applyNumberFormat="1" applyFont="1" applyFill="1"/>
    <xf numFmtId="168" fontId="10" fillId="0" borderId="0" xfId="0" applyNumberFormat="1" applyFont="1"/>
    <xf numFmtId="2" fontId="3" fillId="0" borderId="0" xfId="0" applyNumberFormat="1" applyFont="1"/>
    <xf numFmtId="2" fontId="2" fillId="6" borderId="0" xfId="0" applyNumberFormat="1" applyFont="1" applyFill="1"/>
    <xf numFmtId="2" fontId="2" fillId="9" borderId="0" xfId="0" applyNumberFormat="1" applyFont="1" applyFill="1"/>
    <xf numFmtId="168" fontId="2" fillId="0" borderId="0" xfId="0" applyNumberFormat="1" applyFont="1"/>
    <xf numFmtId="10" fontId="3" fillId="2" borderId="5" xfId="0" applyNumberFormat="1" applyFont="1" applyFill="1" applyBorder="1" applyAlignment="1">
      <alignment horizontal="right"/>
    </xf>
    <xf numFmtId="168" fontId="3" fillId="2" borderId="5" xfId="0" applyNumberFormat="1" applyFont="1" applyFill="1" applyBorder="1" applyAlignment="1">
      <alignment horizontal="right"/>
    </xf>
    <xf numFmtId="9" fontId="2" fillId="0" borderId="0" xfId="0" applyNumberFormat="1" applyFont="1"/>
    <xf numFmtId="0" fontId="3" fillId="6" borderId="14" xfId="0" applyFont="1" applyFill="1" applyBorder="1"/>
    <xf numFmtId="2" fontId="3" fillId="6" borderId="14" xfId="0" applyNumberFormat="1" applyFont="1" applyFill="1" applyBorder="1"/>
    <xf numFmtId="0" fontId="18" fillId="0" borderId="14" xfId="0" applyFont="1" applyBorder="1"/>
    <xf numFmtId="44" fontId="18" fillId="0" borderId="14" xfId="0" applyNumberFormat="1" applyFont="1" applyBorder="1"/>
    <xf numFmtId="166" fontId="18" fillId="0" borderId="14" xfId="0" applyNumberFormat="1" applyFont="1" applyBorder="1"/>
    <xf numFmtId="168" fontId="2" fillId="0" borderId="15" xfId="0" applyNumberFormat="1" applyFont="1" applyBorder="1"/>
    <xf numFmtId="166" fontId="10" fillId="0" borderId="15" xfId="0" applyNumberFormat="1" applyFont="1" applyBorder="1"/>
    <xf numFmtId="166" fontId="10" fillId="0" borderId="16" xfId="0" applyNumberFormat="1" applyFont="1" applyBorder="1"/>
    <xf numFmtId="166" fontId="10" fillId="0" borderId="17" xfId="0" applyNumberFormat="1" applyFont="1" applyBorder="1"/>
    <xf numFmtId="168" fontId="2" fillId="0" borderId="18" xfId="0" applyNumberFormat="1" applyFont="1" applyBorder="1"/>
    <xf numFmtId="166" fontId="10" fillId="0" borderId="18" xfId="0" applyNumberFormat="1" applyFont="1" applyBorder="1"/>
    <xf numFmtId="166" fontId="10" fillId="0" borderId="19" xfId="0" applyNumberFormat="1" applyFont="1" applyBorder="1"/>
    <xf numFmtId="0" fontId="2" fillId="0" borderId="15" xfId="0" applyFont="1" applyBorder="1"/>
    <xf numFmtId="43" fontId="2" fillId="0" borderId="15" xfId="0" applyNumberFormat="1" applyFont="1" applyBorder="1"/>
    <xf numFmtId="44" fontId="2" fillId="0" borderId="16" xfId="0" applyNumberFormat="1" applyFont="1" applyBorder="1"/>
    <xf numFmtId="43" fontId="2" fillId="0" borderId="0" xfId="0" applyNumberFormat="1" applyFont="1"/>
    <xf numFmtId="44" fontId="2" fillId="0" borderId="17" xfId="0" applyNumberFormat="1" applyFont="1" applyBorder="1"/>
    <xf numFmtId="0" fontId="2" fillId="0" borderId="18" xfId="0" applyFont="1" applyBorder="1"/>
    <xf numFmtId="43" fontId="2" fillId="0" borderId="18" xfId="0" applyNumberFormat="1" applyFont="1" applyBorder="1"/>
    <xf numFmtId="44" fontId="2" fillId="0" borderId="19" xfId="0" applyNumberFormat="1" applyFont="1" applyBorder="1"/>
    <xf numFmtId="0" fontId="2" fillId="6" borderId="20" xfId="0" applyFont="1" applyFill="1" applyBorder="1"/>
    <xf numFmtId="0" fontId="2" fillId="6" borderId="21" xfId="0" applyFont="1" applyFill="1" applyBorder="1"/>
    <xf numFmtId="0" fontId="2" fillId="6" borderId="22" xfId="0" applyFont="1" applyFill="1" applyBorder="1"/>
    <xf numFmtId="1" fontId="2" fillId="0" borderId="0" xfId="0" applyNumberFormat="1" applyFont="1"/>
    <xf numFmtId="1" fontId="2" fillId="0" borderId="15" xfId="0" applyNumberFormat="1" applyFont="1" applyBorder="1"/>
    <xf numFmtId="1" fontId="2" fillId="0" borderId="18" xfId="0" applyNumberFormat="1" applyFont="1" applyBorder="1"/>
    <xf numFmtId="44" fontId="4" fillId="5" borderId="0" xfId="2" applyFont="1" applyFill="1"/>
    <xf numFmtId="164" fontId="2" fillId="0" borderId="0" xfId="0" applyNumberFormat="1" applyFont="1" applyAlignment="1">
      <alignment horizontal="right"/>
    </xf>
    <xf numFmtId="164" fontId="10" fillId="0" borderId="0" xfId="0" applyNumberFormat="1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18" fillId="0" borderId="14" xfId="0" applyFont="1" applyBorder="1" applyAlignment="1">
      <alignment horizontal="right" wrapText="1"/>
    </xf>
    <xf numFmtId="164" fontId="18" fillId="0" borderId="14" xfId="0" applyNumberFormat="1" applyFont="1" applyBorder="1" applyAlignment="1">
      <alignment horizontal="right"/>
    </xf>
    <xf numFmtId="0" fontId="21" fillId="0" borderId="0" xfId="0" applyFont="1"/>
    <xf numFmtId="10" fontId="21" fillId="0" borderId="0" xfId="0" applyNumberFormat="1" applyFont="1"/>
    <xf numFmtId="0" fontId="22" fillId="0" borderId="0" xfId="0" applyFont="1"/>
    <xf numFmtId="10" fontId="22" fillId="0" borderId="0" xfId="0" applyNumberFormat="1" applyFont="1"/>
    <xf numFmtId="0" fontId="4" fillId="7" borderId="0" xfId="0" applyFont="1" applyFill="1" applyAlignment="1">
      <alignment horizontal="center"/>
    </xf>
    <xf numFmtId="0" fontId="4" fillId="7" borderId="0" xfId="0" applyFont="1" applyFill="1" applyAlignment="1">
      <alignment horizontal="right" vertical="center" textRotation="9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Medium9"/>
  <colors>
    <mruColors>
      <color rgb="FFFBA777"/>
      <color rgb="FFFCBD7B"/>
      <color rgb="FFF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Beta!$F$3</c:f>
              <c:strCache>
                <c:ptCount val="1"/>
                <c:pt idx="0">
                  <c:v> Close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Beta!$E$4:$E$1689</c:f>
              <c:numCache>
                <c:formatCode>m/d/yyyy</c:formatCode>
                <c:ptCount val="1686"/>
                <c:pt idx="0">
                  <c:v>43410</c:v>
                </c:pt>
                <c:pt idx="1">
                  <c:v>43411</c:v>
                </c:pt>
                <c:pt idx="2">
                  <c:v>43412</c:v>
                </c:pt>
                <c:pt idx="3">
                  <c:v>43413</c:v>
                </c:pt>
                <c:pt idx="4">
                  <c:v>43416</c:v>
                </c:pt>
                <c:pt idx="5">
                  <c:v>43417</c:v>
                </c:pt>
                <c:pt idx="6">
                  <c:v>43418</c:v>
                </c:pt>
                <c:pt idx="7">
                  <c:v>43419</c:v>
                </c:pt>
                <c:pt idx="8">
                  <c:v>43420</c:v>
                </c:pt>
                <c:pt idx="9">
                  <c:v>43423</c:v>
                </c:pt>
                <c:pt idx="10">
                  <c:v>43424</c:v>
                </c:pt>
                <c:pt idx="11">
                  <c:v>43425</c:v>
                </c:pt>
                <c:pt idx="12">
                  <c:v>43427</c:v>
                </c:pt>
                <c:pt idx="13">
                  <c:v>43430</c:v>
                </c:pt>
                <c:pt idx="14">
                  <c:v>43431</c:v>
                </c:pt>
                <c:pt idx="15">
                  <c:v>43432</c:v>
                </c:pt>
                <c:pt idx="16">
                  <c:v>43433</c:v>
                </c:pt>
                <c:pt idx="17">
                  <c:v>43434</c:v>
                </c:pt>
                <c:pt idx="18">
                  <c:v>43437</c:v>
                </c:pt>
                <c:pt idx="19">
                  <c:v>43438</c:v>
                </c:pt>
                <c:pt idx="20">
                  <c:v>43440</c:v>
                </c:pt>
                <c:pt idx="21">
                  <c:v>43441</c:v>
                </c:pt>
                <c:pt idx="22">
                  <c:v>43444</c:v>
                </c:pt>
                <c:pt idx="23">
                  <c:v>43445</c:v>
                </c:pt>
                <c:pt idx="24">
                  <c:v>43446</c:v>
                </c:pt>
                <c:pt idx="25">
                  <c:v>43447</c:v>
                </c:pt>
                <c:pt idx="26">
                  <c:v>43448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43458</c:v>
                </c:pt>
                <c:pt idx="33">
                  <c:v>43460</c:v>
                </c:pt>
                <c:pt idx="34">
                  <c:v>43461</c:v>
                </c:pt>
                <c:pt idx="35">
                  <c:v>43462</c:v>
                </c:pt>
                <c:pt idx="36">
                  <c:v>43465</c:v>
                </c:pt>
                <c:pt idx="37">
                  <c:v>43467</c:v>
                </c:pt>
                <c:pt idx="38">
                  <c:v>43468</c:v>
                </c:pt>
                <c:pt idx="39">
                  <c:v>43469</c:v>
                </c:pt>
                <c:pt idx="40">
                  <c:v>43472</c:v>
                </c:pt>
                <c:pt idx="41">
                  <c:v>43473</c:v>
                </c:pt>
                <c:pt idx="42">
                  <c:v>43474</c:v>
                </c:pt>
                <c:pt idx="43">
                  <c:v>43475</c:v>
                </c:pt>
                <c:pt idx="44">
                  <c:v>43476</c:v>
                </c:pt>
                <c:pt idx="45">
                  <c:v>43479</c:v>
                </c:pt>
                <c:pt idx="46">
                  <c:v>43480</c:v>
                </c:pt>
                <c:pt idx="47">
                  <c:v>43481</c:v>
                </c:pt>
                <c:pt idx="48">
                  <c:v>43482</c:v>
                </c:pt>
                <c:pt idx="49">
                  <c:v>43483</c:v>
                </c:pt>
                <c:pt idx="50">
                  <c:v>43487</c:v>
                </c:pt>
                <c:pt idx="51">
                  <c:v>43488</c:v>
                </c:pt>
                <c:pt idx="52">
                  <c:v>43489</c:v>
                </c:pt>
                <c:pt idx="53">
                  <c:v>43490</c:v>
                </c:pt>
                <c:pt idx="54">
                  <c:v>43493</c:v>
                </c:pt>
                <c:pt idx="55">
                  <c:v>43494</c:v>
                </c:pt>
                <c:pt idx="56">
                  <c:v>43495</c:v>
                </c:pt>
                <c:pt idx="57">
                  <c:v>43496</c:v>
                </c:pt>
                <c:pt idx="58">
                  <c:v>43497</c:v>
                </c:pt>
                <c:pt idx="59">
                  <c:v>43500</c:v>
                </c:pt>
                <c:pt idx="60">
                  <c:v>43501</c:v>
                </c:pt>
                <c:pt idx="61">
                  <c:v>43502</c:v>
                </c:pt>
                <c:pt idx="62">
                  <c:v>43503</c:v>
                </c:pt>
                <c:pt idx="63">
                  <c:v>43504</c:v>
                </c:pt>
                <c:pt idx="64">
                  <c:v>43507</c:v>
                </c:pt>
                <c:pt idx="65">
                  <c:v>43508</c:v>
                </c:pt>
                <c:pt idx="66">
                  <c:v>43509</c:v>
                </c:pt>
                <c:pt idx="67">
                  <c:v>43510</c:v>
                </c:pt>
                <c:pt idx="68">
                  <c:v>43511</c:v>
                </c:pt>
                <c:pt idx="69">
                  <c:v>43515</c:v>
                </c:pt>
                <c:pt idx="70">
                  <c:v>43516</c:v>
                </c:pt>
                <c:pt idx="71">
                  <c:v>43517</c:v>
                </c:pt>
                <c:pt idx="72">
                  <c:v>43518</c:v>
                </c:pt>
                <c:pt idx="73">
                  <c:v>43521</c:v>
                </c:pt>
                <c:pt idx="74">
                  <c:v>43522</c:v>
                </c:pt>
                <c:pt idx="75">
                  <c:v>43523</c:v>
                </c:pt>
                <c:pt idx="76">
                  <c:v>43524</c:v>
                </c:pt>
                <c:pt idx="77">
                  <c:v>43525</c:v>
                </c:pt>
                <c:pt idx="78">
                  <c:v>43528</c:v>
                </c:pt>
                <c:pt idx="79">
                  <c:v>43529</c:v>
                </c:pt>
                <c:pt idx="80">
                  <c:v>43530</c:v>
                </c:pt>
                <c:pt idx="81">
                  <c:v>43531</c:v>
                </c:pt>
                <c:pt idx="82">
                  <c:v>43532</c:v>
                </c:pt>
                <c:pt idx="83">
                  <c:v>43535</c:v>
                </c:pt>
                <c:pt idx="84">
                  <c:v>43536</c:v>
                </c:pt>
                <c:pt idx="85">
                  <c:v>43537</c:v>
                </c:pt>
                <c:pt idx="86">
                  <c:v>43538</c:v>
                </c:pt>
                <c:pt idx="87">
                  <c:v>43539</c:v>
                </c:pt>
                <c:pt idx="88">
                  <c:v>43542</c:v>
                </c:pt>
                <c:pt idx="89">
                  <c:v>43543</c:v>
                </c:pt>
                <c:pt idx="90">
                  <c:v>43544</c:v>
                </c:pt>
                <c:pt idx="91">
                  <c:v>43545</c:v>
                </c:pt>
                <c:pt idx="92">
                  <c:v>43546</c:v>
                </c:pt>
                <c:pt idx="93">
                  <c:v>43549</c:v>
                </c:pt>
                <c:pt idx="94">
                  <c:v>43550</c:v>
                </c:pt>
                <c:pt idx="95">
                  <c:v>43551</c:v>
                </c:pt>
                <c:pt idx="96">
                  <c:v>43552</c:v>
                </c:pt>
                <c:pt idx="97">
                  <c:v>43553</c:v>
                </c:pt>
                <c:pt idx="98">
                  <c:v>43556</c:v>
                </c:pt>
                <c:pt idx="99">
                  <c:v>43557</c:v>
                </c:pt>
                <c:pt idx="100">
                  <c:v>43558</c:v>
                </c:pt>
                <c:pt idx="101">
                  <c:v>43559</c:v>
                </c:pt>
                <c:pt idx="102">
                  <c:v>43560</c:v>
                </c:pt>
                <c:pt idx="103">
                  <c:v>43563</c:v>
                </c:pt>
                <c:pt idx="104">
                  <c:v>43564</c:v>
                </c:pt>
                <c:pt idx="105">
                  <c:v>43565</c:v>
                </c:pt>
                <c:pt idx="106">
                  <c:v>43566</c:v>
                </c:pt>
                <c:pt idx="107">
                  <c:v>43567</c:v>
                </c:pt>
                <c:pt idx="108">
                  <c:v>43570</c:v>
                </c:pt>
                <c:pt idx="109">
                  <c:v>43571</c:v>
                </c:pt>
                <c:pt idx="110">
                  <c:v>43572</c:v>
                </c:pt>
                <c:pt idx="111">
                  <c:v>43573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43584</c:v>
                </c:pt>
                <c:pt idx="118">
                  <c:v>43585</c:v>
                </c:pt>
                <c:pt idx="119">
                  <c:v>43586</c:v>
                </c:pt>
                <c:pt idx="120">
                  <c:v>43587</c:v>
                </c:pt>
                <c:pt idx="121">
                  <c:v>43588</c:v>
                </c:pt>
                <c:pt idx="122">
                  <c:v>43591</c:v>
                </c:pt>
                <c:pt idx="123">
                  <c:v>43592</c:v>
                </c:pt>
                <c:pt idx="124">
                  <c:v>43593</c:v>
                </c:pt>
                <c:pt idx="125">
                  <c:v>43594</c:v>
                </c:pt>
                <c:pt idx="126">
                  <c:v>43595</c:v>
                </c:pt>
                <c:pt idx="127">
                  <c:v>43598</c:v>
                </c:pt>
                <c:pt idx="128">
                  <c:v>43599</c:v>
                </c:pt>
                <c:pt idx="129">
                  <c:v>43600</c:v>
                </c:pt>
                <c:pt idx="130">
                  <c:v>43601</c:v>
                </c:pt>
                <c:pt idx="131">
                  <c:v>43602</c:v>
                </c:pt>
                <c:pt idx="132">
                  <c:v>43605</c:v>
                </c:pt>
                <c:pt idx="133">
                  <c:v>43606</c:v>
                </c:pt>
                <c:pt idx="134">
                  <c:v>43607</c:v>
                </c:pt>
                <c:pt idx="135">
                  <c:v>43608</c:v>
                </c:pt>
                <c:pt idx="136">
                  <c:v>43609</c:v>
                </c:pt>
                <c:pt idx="137">
                  <c:v>43613</c:v>
                </c:pt>
                <c:pt idx="138">
                  <c:v>43614</c:v>
                </c:pt>
                <c:pt idx="139">
                  <c:v>43615</c:v>
                </c:pt>
                <c:pt idx="140">
                  <c:v>43616</c:v>
                </c:pt>
                <c:pt idx="141">
                  <c:v>43619</c:v>
                </c:pt>
                <c:pt idx="142">
                  <c:v>43620</c:v>
                </c:pt>
                <c:pt idx="143">
                  <c:v>43621</c:v>
                </c:pt>
                <c:pt idx="144">
                  <c:v>43622</c:v>
                </c:pt>
                <c:pt idx="145">
                  <c:v>43623</c:v>
                </c:pt>
                <c:pt idx="146">
                  <c:v>43626</c:v>
                </c:pt>
                <c:pt idx="147">
                  <c:v>43627</c:v>
                </c:pt>
                <c:pt idx="148">
                  <c:v>43628</c:v>
                </c:pt>
                <c:pt idx="149">
                  <c:v>43629</c:v>
                </c:pt>
                <c:pt idx="150">
                  <c:v>43630</c:v>
                </c:pt>
                <c:pt idx="151">
                  <c:v>43633</c:v>
                </c:pt>
                <c:pt idx="152">
                  <c:v>43634</c:v>
                </c:pt>
                <c:pt idx="153">
                  <c:v>43635</c:v>
                </c:pt>
                <c:pt idx="154">
                  <c:v>43636</c:v>
                </c:pt>
                <c:pt idx="155">
                  <c:v>43637</c:v>
                </c:pt>
                <c:pt idx="156">
                  <c:v>43640</c:v>
                </c:pt>
                <c:pt idx="157">
                  <c:v>43641</c:v>
                </c:pt>
                <c:pt idx="158">
                  <c:v>43642</c:v>
                </c:pt>
                <c:pt idx="159">
                  <c:v>43643</c:v>
                </c:pt>
                <c:pt idx="160">
                  <c:v>43644</c:v>
                </c:pt>
                <c:pt idx="161">
                  <c:v>43647</c:v>
                </c:pt>
                <c:pt idx="162">
                  <c:v>43648</c:v>
                </c:pt>
                <c:pt idx="163">
                  <c:v>43649</c:v>
                </c:pt>
                <c:pt idx="164">
                  <c:v>43651</c:v>
                </c:pt>
                <c:pt idx="165">
                  <c:v>43654</c:v>
                </c:pt>
                <c:pt idx="166">
                  <c:v>43655</c:v>
                </c:pt>
                <c:pt idx="167">
                  <c:v>43656</c:v>
                </c:pt>
                <c:pt idx="168">
                  <c:v>43657</c:v>
                </c:pt>
                <c:pt idx="169">
                  <c:v>43658</c:v>
                </c:pt>
                <c:pt idx="170">
                  <c:v>43661</c:v>
                </c:pt>
                <c:pt idx="171">
                  <c:v>43662</c:v>
                </c:pt>
                <c:pt idx="172">
                  <c:v>43663</c:v>
                </c:pt>
                <c:pt idx="173">
                  <c:v>43664</c:v>
                </c:pt>
                <c:pt idx="174">
                  <c:v>43665</c:v>
                </c:pt>
                <c:pt idx="175">
                  <c:v>43668</c:v>
                </c:pt>
                <c:pt idx="176">
                  <c:v>43669</c:v>
                </c:pt>
                <c:pt idx="177">
                  <c:v>43670</c:v>
                </c:pt>
                <c:pt idx="178">
                  <c:v>43671</c:v>
                </c:pt>
                <c:pt idx="179">
                  <c:v>43672</c:v>
                </c:pt>
                <c:pt idx="180">
                  <c:v>43675</c:v>
                </c:pt>
                <c:pt idx="181">
                  <c:v>43676</c:v>
                </c:pt>
                <c:pt idx="182">
                  <c:v>43677</c:v>
                </c:pt>
                <c:pt idx="183">
                  <c:v>43678</c:v>
                </c:pt>
                <c:pt idx="184">
                  <c:v>43679</c:v>
                </c:pt>
                <c:pt idx="185">
                  <c:v>43682</c:v>
                </c:pt>
                <c:pt idx="186">
                  <c:v>43683</c:v>
                </c:pt>
                <c:pt idx="187">
                  <c:v>43684</c:v>
                </c:pt>
                <c:pt idx="188">
                  <c:v>43685</c:v>
                </c:pt>
                <c:pt idx="189">
                  <c:v>43686</c:v>
                </c:pt>
                <c:pt idx="190">
                  <c:v>43689</c:v>
                </c:pt>
                <c:pt idx="191">
                  <c:v>43690</c:v>
                </c:pt>
                <c:pt idx="192">
                  <c:v>43691</c:v>
                </c:pt>
                <c:pt idx="193">
                  <c:v>43692</c:v>
                </c:pt>
                <c:pt idx="194">
                  <c:v>43693</c:v>
                </c:pt>
                <c:pt idx="195">
                  <c:v>43696</c:v>
                </c:pt>
                <c:pt idx="196">
                  <c:v>43697</c:v>
                </c:pt>
                <c:pt idx="197">
                  <c:v>43698</c:v>
                </c:pt>
                <c:pt idx="198">
                  <c:v>43699</c:v>
                </c:pt>
                <c:pt idx="199">
                  <c:v>43700</c:v>
                </c:pt>
                <c:pt idx="200">
                  <c:v>43703</c:v>
                </c:pt>
                <c:pt idx="201">
                  <c:v>43704</c:v>
                </c:pt>
                <c:pt idx="202">
                  <c:v>43705</c:v>
                </c:pt>
                <c:pt idx="203">
                  <c:v>43706</c:v>
                </c:pt>
                <c:pt idx="204">
                  <c:v>43707</c:v>
                </c:pt>
                <c:pt idx="205">
                  <c:v>43711</c:v>
                </c:pt>
                <c:pt idx="206">
                  <c:v>43712</c:v>
                </c:pt>
                <c:pt idx="207">
                  <c:v>43713</c:v>
                </c:pt>
                <c:pt idx="208">
                  <c:v>43714</c:v>
                </c:pt>
                <c:pt idx="209">
                  <c:v>43717</c:v>
                </c:pt>
                <c:pt idx="210">
                  <c:v>43718</c:v>
                </c:pt>
                <c:pt idx="211">
                  <c:v>43719</c:v>
                </c:pt>
                <c:pt idx="212">
                  <c:v>43720</c:v>
                </c:pt>
                <c:pt idx="213">
                  <c:v>43721</c:v>
                </c:pt>
                <c:pt idx="214">
                  <c:v>43724</c:v>
                </c:pt>
                <c:pt idx="215">
                  <c:v>43725</c:v>
                </c:pt>
                <c:pt idx="216">
                  <c:v>43726</c:v>
                </c:pt>
                <c:pt idx="217">
                  <c:v>43727</c:v>
                </c:pt>
                <c:pt idx="218">
                  <c:v>43728</c:v>
                </c:pt>
                <c:pt idx="219">
                  <c:v>43731</c:v>
                </c:pt>
                <c:pt idx="220">
                  <c:v>43732</c:v>
                </c:pt>
                <c:pt idx="221">
                  <c:v>43733</c:v>
                </c:pt>
                <c:pt idx="222">
                  <c:v>43734</c:v>
                </c:pt>
                <c:pt idx="223">
                  <c:v>43735</c:v>
                </c:pt>
                <c:pt idx="224">
                  <c:v>43738</c:v>
                </c:pt>
                <c:pt idx="225">
                  <c:v>43739</c:v>
                </c:pt>
                <c:pt idx="226">
                  <c:v>43740</c:v>
                </c:pt>
                <c:pt idx="227">
                  <c:v>43741</c:v>
                </c:pt>
                <c:pt idx="228">
                  <c:v>43742</c:v>
                </c:pt>
                <c:pt idx="229">
                  <c:v>43745</c:v>
                </c:pt>
                <c:pt idx="230">
                  <c:v>43746</c:v>
                </c:pt>
                <c:pt idx="231">
                  <c:v>43747</c:v>
                </c:pt>
                <c:pt idx="232">
                  <c:v>43748</c:v>
                </c:pt>
                <c:pt idx="233">
                  <c:v>43749</c:v>
                </c:pt>
                <c:pt idx="234">
                  <c:v>43752</c:v>
                </c:pt>
                <c:pt idx="235">
                  <c:v>43753</c:v>
                </c:pt>
                <c:pt idx="236">
                  <c:v>43754</c:v>
                </c:pt>
                <c:pt idx="237">
                  <c:v>43755</c:v>
                </c:pt>
                <c:pt idx="238">
                  <c:v>43756</c:v>
                </c:pt>
                <c:pt idx="239">
                  <c:v>43759</c:v>
                </c:pt>
                <c:pt idx="240">
                  <c:v>43760</c:v>
                </c:pt>
                <c:pt idx="241">
                  <c:v>43761</c:v>
                </c:pt>
                <c:pt idx="242">
                  <c:v>43762</c:v>
                </c:pt>
                <c:pt idx="243">
                  <c:v>43763</c:v>
                </c:pt>
                <c:pt idx="244">
                  <c:v>43766</c:v>
                </c:pt>
                <c:pt idx="245">
                  <c:v>43767</c:v>
                </c:pt>
                <c:pt idx="246">
                  <c:v>43768</c:v>
                </c:pt>
                <c:pt idx="247">
                  <c:v>43769</c:v>
                </c:pt>
                <c:pt idx="248">
                  <c:v>43770</c:v>
                </c:pt>
                <c:pt idx="249">
                  <c:v>43773</c:v>
                </c:pt>
                <c:pt idx="250">
                  <c:v>43774</c:v>
                </c:pt>
                <c:pt idx="251">
                  <c:v>43775</c:v>
                </c:pt>
                <c:pt idx="252">
                  <c:v>43776</c:v>
                </c:pt>
                <c:pt idx="253">
                  <c:v>43777</c:v>
                </c:pt>
                <c:pt idx="254">
                  <c:v>43780</c:v>
                </c:pt>
                <c:pt idx="255">
                  <c:v>43781</c:v>
                </c:pt>
                <c:pt idx="256">
                  <c:v>43782</c:v>
                </c:pt>
                <c:pt idx="257">
                  <c:v>43783</c:v>
                </c:pt>
                <c:pt idx="258">
                  <c:v>43784</c:v>
                </c:pt>
                <c:pt idx="259">
                  <c:v>43787</c:v>
                </c:pt>
                <c:pt idx="260">
                  <c:v>43788</c:v>
                </c:pt>
                <c:pt idx="261">
                  <c:v>43789</c:v>
                </c:pt>
                <c:pt idx="262">
                  <c:v>43790</c:v>
                </c:pt>
                <c:pt idx="263">
                  <c:v>43791</c:v>
                </c:pt>
                <c:pt idx="264">
                  <c:v>43794</c:v>
                </c:pt>
                <c:pt idx="265">
                  <c:v>43795</c:v>
                </c:pt>
                <c:pt idx="266">
                  <c:v>43796</c:v>
                </c:pt>
                <c:pt idx="267">
                  <c:v>43798</c:v>
                </c:pt>
                <c:pt idx="268">
                  <c:v>43801</c:v>
                </c:pt>
                <c:pt idx="269">
                  <c:v>43802</c:v>
                </c:pt>
                <c:pt idx="270">
                  <c:v>43803</c:v>
                </c:pt>
                <c:pt idx="271">
                  <c:v>43804</c:v>
                </c:pt>
                <c:pt idx="272">
                  <c:v>43805</c:v>
                </c:pt>
                <c:pt idx="273">
                  <c:v>43808</c:v>
                </c:pt>
                <c:pt idx="274">
                  <c:v>43809</c:v>
                </c:pt>
                <c:pt idx="275">
                  <c:v>43810</c:v>
                </c:pt>
                <c:pt idx="276">
                  <c:v>43811</c:v>
                </c:pt>
                <c:pt idx="277">
                  <c:v>43812</c:v>
                </c:pt>
                <c:pt idx="278">
                  <c:v>43815</c:v>
                </c:pt>
                <c:pt idx="279">
                  <c:v>43816</c:v>
                </c:pt>
                <c:pt idx="280">
                  <c:v>43817</c:v>
                </c:pt>
                <c:pt idx="281">
                  <c:v>43818</c:v>
                </c:pt>
                <c:pt idx="282">
                  <c:v>43819</c:v>
                </c:pt>
                <c:pt idx="283">
                  <c:v>43822</c:v>
                </c:pt>
                <c:pt idx="284">
                  <c:v>43823</c:v>
                </c:pt>
                <c:pt idx="285">
                  <c:v>43825</c:v>
                </c:pt>
                <c:pt idx="286">
                  <c:v>43826</c:v>
                </c:pt>
                <c:pt idx="287">
                  <c:v>43829</c:v>
                </c:pt>
                <c:pt idx="288">
                  <c:v>43830</c:v>
                </c:pt>
                <c:pt idx="289">
                  <c:v>43832</c:v>
                </c:pt>
                <c:pt idx="290">
                  <c:v>43833</c:v>
                </c:pt>
                <c:pt idx="291">
                  <c:v>43836</c:v>
                </c:pt>
                <c:pt idx="292">
                  <c:v>43837</c:v>
                </c:pt>
                <c:pt idx="293">
                  <c:v>43838</c:v>
                </c:pt>
                <c:pt idx="294">
                  <c:v>43839</c:v>
                </c:pt>
                <c:pt idx="295">
                  <c:v>43840</c:v>
                </c:pt>
                <c:pt idx="296">
                  <c:v>43843</c:v>
                </c:pt>
                <c:pt idx="297">
                  <c:v>43844</c:v>
                </c:pt>
                <c:pt idx="298">
                  <c:v>43845</c:v>
                </c:pt>
                <c:pt idx="299">
                  <c:v>43846</c:v>
                </c:pt>
                <c:pt idx="300">
                  <c:v>43847</c:v>
                </c:pt>
                <c:pt idx="301">
                  <c:v>43851</c:v>
                </c:pt>
                <c:pt idx="302">
                  <c:v>43852</c:v>
                </c:pt>
                <c:pt idx="303">
                  <c:v>43853</c:v>
                </c:pt>
                <c:pt idx="304">
                  <c:v>43854</c:v>
                </c:pt>
                <c:pt idx="305">
                  <c:v>43857</c:v>
                </c:pt>
                <c:pt idx="306">
                  <c:v>43858</c:v>
                </c:pt>
                <c:pt idx="307">
                  <c:v>43859</c:v>
                </c:pt>
                <c:pt idx="308">
                  <c:v>43860</c:v>
                </c:pt>
                <c:pt idx="309">
                  <c:v>43861</c:v>
                </c:pt>
                <c:pt idx="310">
                  <c:v>43864</c:v>
                </c:pt>
                <c:pt idx="311">
                  <c:v>43865</c:v>
                </c:pt>
                <c:pt idx="312">
                  <c:v>43866</c:v>
                </c:pt>
                <c:pt idx="313">
                  <c:v>43867</c:v>
                </c:pt>
                <c:pt idx="314">
                  <c:v>43868</c:v>
                </c:pt>
                <c:pt idx="315">
                  <c:v>43871</c:v>
                </c:pt>
                <c:pt idx="316">
                  <c:v>43872</c:v>
                </c:pt>
                <c:pt idx="317">
                  <c:v>43873</c:v>
                </c:pt>
                <c:pt idx="318">
                  <c:v>43874</c:v>
                </c:pt>
                <c:pt idx="319">
                  <c:v>43875</c:v>
                </c:pt>
                <c:pt idx="320">
                  <c:v>43879</c:v>
                </c:pt>
                <c:pt idx="321">
                  <c:v>43880</c:v>
                </c:pt>
                <c:pt idx="322">
                  <c:v>43881</c:v>
                </c:pt>
                <c:pt idx="323">
                  <c:v>43882</c:v>
                </c:pt>
                <c:pt idx="324">
                  <c:v>43885</c:v>
                </c:pt>
                <c:pt idx="325">
                  <c:v>43886</c:v>
                </c:pt>
                <c:pt idx="326">
                  <c:v>43887</c:v>
                </c:pt>
                <c:pt idx="327">
                  <c:v>43888</c:v>
                </c:pt>
                <c:pt idx="328">
                  <c:v>43889</c:v>
                </c:pt>
                <c:pt idx="329">
                  <c:v>43892</c:v>
                </c:pt>
                <c:pt idx="330">
                  <c:v>43893</c:v>
                </c:pt>
                <c:pt idx="331">
                  <c:v>43894</c:v>
                </c:pt>
                <c:pt idx="332">
                  <c:v>43895</c:v>
                </c:pt>
                <c:pt idx="333">
                  <c:v>43896</c:v>
                </c:pt>
                <c:pt idx="334">
                  <c:v>43899</c:v>
                </c:pt>
                <c:pt idx="335">
                  <c:v>43900</c:v>
                </c:pt>
                <c:pt idx="336">
                  <c:v>43901</c:v>
                </c:pt>
                <c:pt idx="337">
                  <c:v>43902</c:v>
                </c:pt>
                <c:pt idx="338">
                  <c:v>43903</c:v>
                </c:pt>
                <c:pt idx="339">
                  <c:v>43906</c:v>
                </c:pt>
                <c:pt idx="340">
                  <c:v>43907</c:v>
                </c:pt>
                <c:pt idx="341">
                  <c:v>43908</c:v>
                </c:pt>
                <c:pt idx="342">
                  <c:v>43909</c:v>
                </c:pt>
                <c:pt idx="343">
                  <c:v>43910</c:v>
                </c:pt>
                <c:pt idx="344">
                  <c:v>43913</c:v>
                </c:pt>
                <c:pt idx="345">
                  <c:v>43914</c:v>
                </c:pt>
                <c:pt idx="346">
                  <c:v>43915</c:v>
                </c:pt>
                <c:pt idx="347">
                  <c:v>43916</c:v>
                </c:pt>
                <c:pt idx="348">
                  <c:v>43917</c:v>
                </c:pt>
                <c:pt idx="349">
                  <c:v>43920</c:v>
                </c:pt>
                <c:pt idx="350">
                  <c:v>43921</c:v>
                </c:pt>
                <c:pt idx="351">
                  <c:v>43922</c:v>
                </c:pt>
                <c:pt idx="352">
                  <c:v>43923</c:v>
                </c:pt>
                <c:pt idx="353">
                  <c:v>43924</c:v>
                </c:pt>
                <c:pt idx="354">
                  <c:v>43927</c:v>
                </c:pt>
                <c:pt idx="355">
                  <c:v>43928</c:v>
                </c:pt>
                <c:pt idx="356">
                  <c:v>43929</c:v>
                </c:pt>
                <c:pt idx="357">
                  <c:v>43930</c:v>
                </c:pt>
                <c:pt idx="358">
                  <c:v>43934</c:v>
                </c:pt>
                <c:pt idx="359">
                  <c:v>43935</c:v>
                </c:pt>
                <c:pt idx="360">
                  <c:v>43936</c:v>
                </c:pt>
                <c:pt idx="361">
                  <c:v>43937</c:v>
                </c:pt>
                <c:pt idx="362">
                  <c:v>43938</c:v>
                </c:pt>
                <c:pt idx="363">
                  <c:v>43941</c:v>
                </c:pt>
                <c:pt idx="364">
                  <c:v>43942</c:v>
                </c:pt>
                <c:pt idx="365">
                  <c:v>43943</c:v>
                </c:pt>
                <c:pt idx="366">
                  <c:v>43944</c:v>
                </c:pt>
                <c:pt idx="367">
                  <c:v>43945</c:v>
                </c:pt>
                <c:pt idx="368">
                  <c:v>43948</c:v>
                </c:pt>
                <c:pt idx="369">
                  <c:v>43949</c:v>
                </c:pt>
                <c:pt idx="370">
                  <c:v>43950</c:v>
                </c:pt>
                <c:pt idx="371">
                  <c:v>43951</c:v>
                </c:pt>
                <c:pt idx="372">
                  <c:v>43952</c:v>
                </c:pt>
                <c:pt idx="373">
                  <c:v>43955</c:v>
                </c:pt>
                <c:pt idx="374">
                  <c:v>43956</c:v>
                </c:pt>
                <c:pt idx="375">
                  <c:v>43957</c:v>
                </c:pt>
                <c:pt idx="376">
                  <c:v>43958</c:v>
                </c:pt>
                <c:pt idx="377">
                  <c:v>43959</c:v>
                </c:pt>
                <c:pt idx="378">
                  <c:v>43962</c:v>
                </c:pt>
                <c:pt idx="379">
                  <c:v>43963</c:v>
                </c:pt>
                <c:pt idx="380">
                  <c:v>43964</c:v>
                </c:pt>
                <c:pt idx="381">
                  <c:v>43965</c:v>
                </c:pt>
                <c:pt idx="382">
                  <c:v>43966</c:v>
                </c:pt>
                <c:pt idx="383">
                  <c:v>43969</c:v>
                </c:pt>
                <c:pt idx="384">
                  <c:v>43970</c:v>
                </c:pt>
                <c:pt idx="385">
                  <c:v>43971</c:v>
                </c:pt>
                <c:pt idx="386">
                  <c:v>43972</c:v>
                </c:pt>
                <c:pt idx="387">
                  <c:v>43973</c:v>
                </c:pt>
                <c:pt idx="388">
                  <c:v>43977</c:v>
                </c:pt>
                <c:pt idx="389">
                  <c:v>43978</c:v>
                </c:pt>
                <c:pt idx="390">
                  <c:v>43979</c:v>
                </c:pt>
                <c:pt idx="391">
                  <c:v>43980</c:v>
                </c:pt>
                <c:pt idx="392">
                  <c:v>43983</c:v>
                </c:pt>
                <c:pt idx="393">
                  <c:v>43984</c:v>
                </c:pt>
                <c:pt idx="394">
                  <c:v>43985</c:v>
                </c:pt>
                <c:pt idx="395">
                  <c:v>43986</c:v>
                </c:pt>
                <c:pt idx="396">
                  <c:v>43987</c:v>
                </c:pt>
                <c:pt idx="397">
                  <c:v>43990</c:v>
                </c:pt>
                <c:pt idx="398">
                  <c:v>43991</c:v>
                </c:pt>
                <c:pt idx="399">
                  <c:v>43992</c:v>
                </c:pt>
                <c:pt idx="400">
                  <c:v>43993</c:v>
                </c:pt>
                <c:pt idx="401">
                  <c:v>43994</c:v>
                </c:pt>
                <c:pt idx="402">
                  <c:v>43997</c:v>
                </c:pt>
                <c:pt idx="403">
                  <c:v>43998</c:v>
                </c:pt>
                <c:pt idx="404">
                  <c:v>43999</c:v>
                </c:pt>
                <c:pt idx="405">
                  <c:v>44000</c:v>
                </c:pt>
                <c:pt idx="406">
                  <c:v>44001</c:v>
                </c:pt>
                <c:pt idx="407">
                  <c:v>44004</c:v>
                </c:pt>
                <c:pt idx="408">
                  <c:v>44005</c:v>
                </c:pt>
                <c:pt idx="409">
                  <c:v>44006</c:v>
                </c:pt>
                <c:pt idx="410">
                  <c:v>44007</c:v>
                </c:pt>
                <c:pt idx="411">
                  <c:v>44008</c:v>
                </c:pt>
                <c:pt idx="412">
                  <c:v>44011</c:v>
                </c:pt>
                <c:pt idx="413">
                  <c:v>44012</c:v>
                </c:pt>
                <c:pt idx="414">
                  <c:v>44013</c:v>
                </c:pt>
                <c:pt idx="415">
                  <c:v>44014</c:v>
                </c:pt>
                <c:pt idx="416">
                  <c:v>44018</c:v>
                </c:pt>
                <c:pt idx="417">
                  <c:v>44019</c:v>
                </c:pt>
                <c:pt idx="418">
                  <c:v>44020</c:v>
                </c:pt>
                <c:pt idx="419">
                  <c:v>44021</c:v>
                </c:pt>
                <c:pt idx="420">
                  <c:v>44022</c:v>
                </c:pt>
                <c:pt idx="421">
                  <c:v>44025</c:v>
                </c:pt>
                <c:pt idx="422">
                  <c:v>44026</c:v>
                </c:pt>
                <c:pt idx="423">
                  <c:v>44027</c:v>
                </c:pt>
                <c:pt idx="424">
                  <c:v>44028</c:v>
                </c:pt>
                <c:pt idx="425">
                  <c:v>44029</c:v>
                </c:pt>
                <c:pt idx="426">
                  <c:v>44032</c:v>
                </c:pt>
                <c:pt idx="427">
                  <c:v>44033</c:v>
                </c:pt>
                <c:pt idx="428">
                  <c:v>44034</c:v>
                </c:pt>
                <c:pt idx="429">
                  <c:v>44035</c:v>
                </c:pt>
                <c:pt idx="430">
                  <c:v>44036</c:v>
                </c:pt>
                <c:pt idx="431">
                  <c:v>44039</c:v>
                </c:pt>
                <c:pt idx="432">
                  <c:v>44040</c:v>
                </c:pt>
                <c:pt idx="433">
                  <c:v>44041</c:v>
                </c:pt>
                <c:pt idx="434">
                  <c:v>44042</c:v>
                </c:pt>
                <c:pt idx="435">
                  <c:v>44043</c:v>
                </c:pt>
                <c:pt idx="436">
                  <c:v>44046</c:v>
                </c:pt>
                <c:pt idx="437">
                  <c:v>44047</c:v>
                </c:pt>
                <c:pt idx="438">
                  <c:v>44048</c:v>
                </c:pt>
                <c:pt idx="439">
                  <c:v>44049</c:v>
                </c:pt>
                <c:pt idx="440">
                  <c:v>44050</c:v>
                </c:pt>
                <c:pt idx="441">
                  <c:v>44053</c:v>
                </c:pt>
                <c:pt idx="442">
                  <c:v>44054</c:v>
                </c:pt>
                <c:pt idx="443">
                  <c:v>44055</c:v>
                </c:pt>
                <c:pt idx="444">
                  <c:v>44056</c:v>
                </c:pt>
                <c:pt idx="445">
                  <c:v>44057</c:v>
                </c:pt>
                <c:pt idx="446">
                  <c:v>44060</c:v>
                </c:pt>
                <c:pt idx="447">
                  <c:v>44061</c:v>
                </c:pt>
                <c:pt idx="448">
                  <c:v>44062</c:v>
                </c:pt>
                <c:pt idx="449">
                  <c:v>44063</c:v>
                </c:pt>
                <c:pt idx="450">
                  <c:v>44064</c:v>
                </c:pt>
                <c:pt idx="451">
                  <c:v>44067</c:v>
                </c:pt>
                <c:pt idx="452">
                  <c:v>44068</c:v>
                </c:pt>
                <c:pt idx="453">
                  <c:v>44069</c:v>
                </c:pt>
                <c:pt idx="454">
                  <c:v>44070</c:v>
                </c:pt>
                <c:pt idx="455">
                  <c:v>44071</c:v>
                </c:pt>
                <c:pt idx="456">
                  <c:v>44074</c:v>
                </c:pt>
                <c:pt idx="457">
                  <c:v>44075</c:v>
                </c:pt>
                <c:pt idx="458">
                  <c:v>44076</c:v>
                </c:pt>
                <c:pt idx="459">
                  <c:v>44077</c:v>
                </c:pt>
                <c:pt idx="460">
                  <c:v>44078</c:v>
                </c:pt>
                <c:pt idx="461">
                  <c:v>44082</c:v>
                </c:pt>
                <c:pt idx="462">
                  <c:v>44083</c:v>
                </c:pt>
                <c:pt idx="463">
                  <c:v>44084</c:v>
                </c:pt>
                <c:pt idx="464">
                  <c:v>44085</c:v>
                </c:pt>
                <c:pt idx="465">
                  <c:v>44088</c:v>
                </c:pt>
                <c:pt idx="466">
                  <c:v>44089</c:v>
                </c:pt>
                <c:pt idx="467">
                  <c:v>44090</c:v>
                </c:pt>
                <c:pt idx="468">
                  <c:v>44091</c:v>
                </c:pt>
                <c:pt idx="469">
                  <c:v>44092</c:v>
                </c:pt>
                <c:pt idx="470">
                  <c:v>44095</c:v>
                </c:pt>
                <c:pt idx="471">
                  <c:v>44096</c:v>
                </c:pt>
                <c:pt idx="472">
                  <c:v>44097</c:v>
                </c:pt>
                <c:pt idx="473">
                  <c:v>44098</c:v>
                </c:pt>
                <c:pt idx="474">
                  <c:v>44099</c:v>
                </c:pt>
                <c:pt idx="475">
                  <c:v>44102</c:v>
                </c:pt>
                <c:pt idx="476">
                  <c:v>44103</c:v>
                </c:pt>
                <c:pt idx="477">
                  <c:v>44104</c:v>
                </c:pt>
                <c:pt idx="478">
                  <c:v>44105</c:v>
                </c:pt>
                <c:pt idx="479">
                  <c:v>44106</c:v>
                </c:pt>
                <c:pt idx="480">
                  <c:v>44109</c:v>
                </c:pt>
                <c:pt idx="481">
                  <c:v>44110</c:v>
                </c:pt>
                <c:pt idx="482">
                  <c:v>44111</c:v>
                </c:pt>
                <c:pt idx="483">
                  <c:v>44112</c:v>
                </c:pt>
                <c:pt idx="484">
                  <c:v>44113</c:v>
                </c:pt>
                <c:pt idx="485">
                  <c:v>44116</c:v>
                </c:pt>
                <c:pt idx="486">
                  <c:v>44117</c:v>
                </c:pt>
                <c:pt idx="487">
                  <c:v>44118</c:v>
                </c:pt>
                <c:pt idx="488">
                  <c:v>44119</c:v>
                </c:pt>
                <c:pt idx="489">
                  <c:v>44120</c:v>
                </c:pt>
                <c:pt idx="490">
                  <c:v>44123</c:v>
                </c:pt>
                <c:pt idx="491">
                  <c:v>44124</c:v>
                </c:pt>
                <c:pt idx="492">
                  <c:v>44125</c:v>
                </c:pt>
                <c:pt idx="493">
                  <c:v>44126</c:v>
                </c:pt>
                <c:pt idx="494">
                  <c:v>44127</c:v>
                </c:pt>
                <c:pt idx="495">
                  <c:v>44130</c:v>
                </c:pt>
                <c:pt idx="496">
                  <c:v>44131</c:v>
                </c:pt>
                <c:pt idx="497">
                  <c:v>44132</c:v>
                </c:pt>
                <c:pt idx="498">
                  <c:v>44133</c:v>
                </c:pt>
                <c:pt idx="499">
                  <c:v>44134</c:v>
                </c:pt>
                <c:pt idx="500">
                  <c:v>44137</c:v>
                </c:pt>
                <c:pt idx="501">
                  <c:v>44138</c:v>
                </c:pt>
                <c:pt idx="502">
                  <c:v>44139</c:v>
                </c:pt>
                <c:pt idx="503">
                  <c:v>44140</c:v>
                </c:pt>
                <c:pt idx="504">
                  <c:v>44141</c:v>
                </c:pt>
                <c:pt idx="505">
                  <c:v>44144</c:v>
                </c:pt>
                <c:pt idx="506">
                  <c:v>44145</c:v>
                </c:pt>
                <c:pt idx="507">
                  <c:v>44146</c:v>
                </c:pt>
                <c:pt idx="508">
                  <c:v>44147</c:v>
                </c:pt>
                <c:pt idx="509">
                  <c:v>44148</c:v>
                </c:pt>
                <c:pt idx="510">
                  <c:v>44151</c:v>
                </c:pt>
                <c:pt idx="511">
                  <c:v>44152</c:v>
                </c:pt>
                <c:pt idx="512">
                  <c:v>44153</c:v>
                </c:pt>
                <c:pt idx="513">
                  <c:v>44154</c:v>
                </c:pt>
                <c:pt idx="514">
                  <c:v>44155</c:v>
                </c:pt>
                <c:pt idx="515">
                  <c:v>44158</c:v>
                </c:pt>
                <c:pt idx="516">
                  <c:v>44159</c:v>
                </c:pt>
                <c:pt idx="517">
                  <c:v>44160</c:v>
                </c:pt>
                <c:pt idx="518">
                  <c:v>44162</c:v>
                </c:pt>
                <c:pt idx="519">
                  <c:v>44165</c:v>
                </c:pt>
                <c:pt idx="520">
                  <c:v>44166</c:v>
                </c:pt>
                <c:pt idx="521">
                  <c:v>44167</c:v>
                </c:pt>
                <c:pt idx="522">
                  <c:v>44168</c:v>
                </c:pt>
                <c:pt idx="523">
                  <c:v>44169</c:v>
                </c:pt>
                <c:pt idx="524">
                  <c:v>44172</c:v>
                </c:pt>
                <c:pt idx="525">
                  <c:v>44173</c:v>
                </c:pt>
                <c:pt idx="526">
                  <c:v>44174</c:v>
                </c:pt>
                <c:pt idx="527">
                  <c:v>44175</c:v>
                </c:pt>
                <c:pt idx="528">
                  <c:v>44176</c:v>
                </c:pt>
                <c:pt idx="529">
                  <c:v>44179</c:v>
                </c:pt>
                <c:pt idx="530">
                  <c:v>44180</c:v>
                </c:pt>
                <c:pt idx="531">
                  <c:v>44181</c:v>
                </c:pt>
                <c:pt idx="532">
                  <c:v>44182</c:v>
                </c:pt>
                <c:pt idx="533">
                  <c:v>44183</c:v>
                </c:pt>
                <c:pt idx="534">
                  <c:v>44186</c:v>
                </c:pt>
                <c:pt idx="535">
                  <c:v>44187</c:v>
                </c:pt>
                <c:pt idx="536">
                  <c:v>44188</c:v>
                </c:pt>
                <c:pt idx="537">
                  <c:v>44189</c:v>
                </c:pt>
                <c:pt idx="538">
                  <c:v>44193</c:v>
                </c:pt>
                <c:pt idx="539">
                  <c:v>44194</c:v>
                </c:pt>
                <c:pt idx="540">
                  <c:v>44195</c:v>
                </c:pt>
                <c:pt idx="541">
                  <c:v>44196</c:v>
                </c:pt>
                <c:pt idx="542">
                  <c:v>44200</c:v>
                </c:pt>
                <c:pt idx="543">
                  <c:v>44201</c:v>
                </c:pt>
                <c:pt idx="544">
                  <c:v>44202</c:v>
                </c:pt>
                <c:pt idx="545">
                  <c:v>44203</c:v>
                </c:pt>
                <c:pt idx="546">
                  <c:v>44204</c:v>
                </c:pt>
                <c:pt idx="547">
                  <c:v>44207</c:v>
                </c:pt>
                <c:pt idx="548">
                  <c:v>44208</c:v>
                </c:pt>
                <c:pt idx="549">
                  <c:v>44209</c:v>
                </c:pt>
                <c:pt idx="550">
                  <c:v>44210</c:v>
                </c:pt>
                <c:pt idx="551">
                  <c:v>44211</c:v>
                </c:pt>
                <c:pt idx="552">
                  <c:v>44215</c:v>
                </c:pt>
                <c:pt idx="553">
                  <c:v>44216</c:v>
                </c:pt>
                <c:pt idx="554">
                  <c:v>44217</c:v>
                </c:pt>
                <c:pt idx="555">
                  <c:v>44218</c:v>
                </c:pt>
                <c:pt idx="556">
                  <c:v>44221</c:v>
                </c:pt>
                <c:pt idx="557">
                  <c:v>44222</c:v>
                </c:pt>
                <c:pt idx="558">
                  <c:v>44223</c:v>
                </c:pt>
                <c:pt idx="559">
                  <c:v>44224</c:v>
                </c:pt>
                <c:pt idx="560">
                  <c:v>44225</c:v>
                </c:pt>
                <c:pt idx="561">
                  <c:v>44228</c:v>
                </c:pt>
                <c:pt idx="562">
                  <c:v>44229</c:v>
                </c:pt>
                <c:pt idx="563">
                  <c:v>44230</c:v>
                </c:pt>
                <c:pt idx="564">
                  <c:v>44231</c:v>
                </c:pt>
                <c:pt idx="565">
                  <c:v>44232</c:v>
                </c:pt>
                <c:pt idx="566">
                  <c:v>44235</c:v>
                </c:pt>
                <c:pt idx="567">
                  <c:v>44236</c:v>
                </c:pt>
                <c:pt idx="568">
                  <c:v>44237</c:v>
                </c:pt>
                <c:pt idx="569">
                  <c:v>44238</c:v>
                </c:pt>
                <c:pt idx="570">
                  <c:v>44239</c:v>
                </c:pt>
                <c:pt idx="571">
                  <c:v>44243</c:v>
                </c:pt>
                <c:pt idx="572">
                  <c:v>44244</c:v>
                </c:pt>
                <c:pt idx="573">
                  <c:v>44245</c:v>
                </c:pt>
                <c:pt idx="574">
                  <c:v>44246</c:v>
                </c:pt>
                <c:pt idx="575">
                  <c:v>44249</c:v>
                </c:pt>
                <c:pt idx="576">
                  <c:v>44250</c:v>
                </c:pt>
                <c:pt idx="577">
                  <c:v>44251</c:v>
                </c:pt>
                <c:pt idx="578">
                  <c:v>44252</c:v>
                </c:pt>
                <c:pt idx="579">
                  <c:v>44253</c:v>
                </c:pt>
                <c:pt idx="580">
                  <c:v>44256</c:v>
                </c:pt>
                <c:pt idx="581">
                  <c:v>44257</c:v>
                </c:pt>
                <c:pt idx="582">
                  <c:v>44258</c:v>
                </c:pt>
                <c:pt idx="583">
                  <c:v>44259</c:v>
                </c:pt>
                <c:pt idx="584">
                  <c:v>44260</c:v>
                </c:pt>
                <c:pt idx="585">
                  <c:v>44263</c:v>
                </c:pt>
                <c:pt idx="586">
                  <c:v>44264</c:v>
                </c:pt>
                <c:pt idx="587">
                  <c:v>44265</c:v>
                </c:pt>
                <c:pt idx="588">
                  <c:v>44266</c:v>
                </c:pt>
                <c:pt idx="589">
                  <c:v>44267</c:v>
                </c:pt>
                <c:pt idx="590">
                  <c:v>44270</c:v>
                </c:pt>
                <c:pt idx="591">
                  <c:v>44271</c:v>
                </c:pt>
                <c:pt idx="592">
                  <c:v>44272</c:v>
                </c:pt>
                <c:pt idx="593">
                  <c:v>44273</c:v>
                </c:pt>
                <c:pt idx="594">
                  <c:v>44274</c:v>
                </c:pt>
                <c:pt idx="595">
                  <c:v>44277</c:v>
                </c:pt>
                <c:pt idx="596">
                  <c:v>44278</c:v>
                </c:pt>
                <c:pt idx="597">
                  <c:v>44279</c:v>
                </c:pt>
                <c:pt idx="598">
                  <c:v>44280</c:v>
                </c:pt>
                <c:pt idx="599">
                  <c:v>44281</c:v>
                </c:pt>
                <c:pt idx="600">
                  <c:v>44284</c:v>
                </c:pt>
                <c:pt idx="601">
                  <c:v>44285</c:v>
                </c:pt>
                <c:pt idx="602">
                  <c:v>44286</c:v>
                </c:pt>
                <c:pt idx="603">
                  <c:v>44287</c:v>
                </c:pt>
                <c:pt idx="604">
                  <c:v>44291</c:v>
                </c:pt>
                <c:pt idx="605">
                  <c:v>44292</c:v>
                </c:pt>
                <c:pt idx="606">
                  <c:v>44293</c:v>
                </c:pt>
                <c:pt idx="607">
                  <c:v>44294</c:v>
                </c:pt>
                <c:pt idx="608">
                  <c:v>44295</c:v>
                </c:pt>
                <c:pt idx="609">
                  <c:v>44298</c:v>
                </c:pt>
                <c:pt idx="610">
                  <c:v>44299</c:v>
                </c:pt>
                <c:pt idx="611">
                  <c:v>44300</c:v>
                </c:pt>
                <c:pt idx="612">
                  <c:v>44301</c:v>
                </c:pt>
                <c:pt idx="613">
                  <c:v>44302</c:v>
                </c:pt>
                <c:pt idx="614">
                  <c:v>44305</c:v>
                </c:pt>
                <c:pt idx="615">
                  <c:v>44306</c:v>
                </c:pt>
                <c:pt idx="616">
                  <c:v>44307</c:v>
                </c:pt>
                <c:pt idx="617">
                  <c:v>44308</c:v>
                </c:pt>
                <c:pt idx="618">
                  <c:v>44309</c:v>
                </c:pt>
                <c:pt idx="619">
                  <c:v>44312</c:v>
                </c:pt>
                <c:pt idx="620">
                  <c:v>44313</c:v>
                </c:pt>
                <c:pt idx="621">
                  <c:v>44314</c:v>
                </c:pt>
                <c:pt idx="622">
                  <c:v>44315</c:v>
                </c:pt>
                <c:pt idx="623">
                  <c:v>44316</c:v>
                </c:pt>
                <c:pt idx="624">
                  <c:v>44319</c:v>
                </c:pt>
                <c:pt idx="625">
                  <c:v>44320</c:v>
                </c:pt>
                <c:pt idx="626">
                  <c:v>44321</c:v>
                </c:pt>
                <c:pt idx="627">
                  <c:v>44322</c:v>
                </c:pt>
                <c:pt idx="628">
                  <c:v>44323</c:v>
                </c:pt>
                <c:pt idx="629">
                  <c:v>44326</c:v>
                </c:pt>
                <c:pt idx="630">
                  <c:v>44327</c:v>
                </c:pt>
                <c:pt idx="631">
                  <c:v>44328</c:v>
                </c:pt>
                <c:pt idx="632">
                  <c:v>44329</c:v>
                </c:pt>
                <c:pt idx="633">
                  <c:v>44330</c:v>
                </c:pt>
                <c:pt idx="634">
                  <c:v>44333</c:v>
                </c:pt>
                <c:pt idx="635">
                  <c:v>44334</c:v>
                </c:pt>
                <c:pt idx="636">
                  <c:v>44335</c:v>
                </c:pt>
                <c:pt idx="637">
                  <c:v>44336</c:v>
                </c:pt>
                <c:pt idx="638">
                  <c:v>44337</c:v>
                </c:pt>
                <c:pt idx="639">
                  <c:v>44340</c:v>
                </c:pt>
                <c:pt idx="640">
                  <c:v>44341</c:v>
                </c:pt>
                <c:pt idx="641">
                  <c:v>44342</c:v>
                </c:pt>
                <c:pt idx="642">
                  <c:v>44343</c:v>
                </c:pt>
                <c:pt idx="643">
                  <c:v>44344</c:v>
                </c:pt>
                <c:pt idx="644">
                  <c:v>44348</c:v>
                </c:pt>
                <c:pt idx="645">
                  <c:v>44349</c:v>
                </c:pt>
                <c:pt idx="646">
                  <c:v>44350</c:v>
                </c:pt>
                <c:pt idx="647">
                  <c:v>44351</c:v>
                </c:pt>
                <c:pt idx="648">
                  <c:v>44354</c:v>
                </c:pt>
                <c:pt idx="649">
                  <c:v>44355</c:v>
                </c:pt>
                <c:pt idx="650">
                  <c:v>44356</c:v>
                </c:pt>
                <c:pt idx="651">
                  <c:v>44357</c:v>
                </c:pt>
                <c:pt idx="652">
                  <c:v>44358</c:v>
                </c:pt>
                <c:pt idx="653">
                  <c:v>44361</c:v>
                </c:pt>
                <c:pt idx="654">
                  <c:v>44362</c:v>
                </c:pt>
                <c:pt idx="655">
                  <c:v>44363</c:v>
                </c:pt>
                <c:pt idx="656">
                  <c:v>44364</c:v>
                </c:pt>
                <c:pt idx="657">
                  <c:v>44365</c:v>
                </c:pt>
                <c:pt idx="658">
                  <c:v>44368</c:v>
                </c:pt>
                <c:pt idx="659">
                  <c:v>44369</c:v>
                </c:pt>
                <c:pt idx="660">
                  <c:v>44370</c:v>
                </c:pt>
                <c:pt idx="661">
                  <c:v>44371</c:v>
                </c:pt>
                <c:pt idx="662">
                  <c:v>44372</c:v>
                </c:pt>
                <c:pt idx="663">
                  <c:v>44375</c:v>
                </c:pt>
                <c:pt idx="664">
                  <c:v>44376</c:v>
                </c:pt>
                <c:pt idx="665">
                  <c:v>44377</c:v>
                </c:pt>
                <c:pt idx="666">
                  <c:v>44378</c:v>
                </c:pt>
                <c:pt idx="667">
                  <c:v>44379</c:v>
                </c:pt>
                <c:pt idx="668">
                  <c:v>44383</c:v>
                </c:pt>
                <c:pt idx="669">
                  <c:v>44384</c:v>
                </c:pt>
                <c:pt idx="670">
                  <c:v>44385</c:v>
                </c:pt>
                <c:pt idx="671">
                  <c:v>44386</c:v>
                </c:pt>
                <c:pt idx="672">
                  <c:v>44389</c:v>
                </c:pt>
                <c:pt idx="673">
                  <c:v>44390</c:v>
                </c:pt>
                <c:pt idx="674">
                  <c:v>44391</c:v>
                </c:pt>
                <c:pt idx="675">
                  <c:v>44392</c:v>
                </c:pt>
                <c:pt idx="676">
                  <c:v>44393</c:v>
                </c:pt>
                <c:pt idx="677">
                  <c:v>44396</c:v>
                </c:pt>
                <c:pt idx="678">
                  <c:v>44397</c:v>
                </c:pt>
                <c:pt idx="679">
                  <c:v>44398</c:v>
                </c:pt>
                <c:pt idx="680">
                  <c:v>44399</c:v>
                </c:pt>
                <c:pt idx="681">
                  <c:v>44400</c:v>
                </c:pt>
                <c:pt idx="682">
                  <c:v>44403</c:v>
                </c:pt>
                <c:pt idx="683">
                  <c:v>44404</c:v>
                </c:pt>
                <c:pt idx="684">
                  <c:v>44405</c:v>
                </c:pt>
                <c:pt idx="685">
                  <c:v>44406</c:v>
                </c:pt>
                <c:pt idx="686">
                  <c:v>44407</c:v>
                </c:pt>
                <c:pt idx="687">
                  <c:v>44410</c:v>
                </c:pt>
                <c:pt idx="688">
                  <c:v>44411</c:v>
                </c:pt>
                <c:pt idx="689">
                  <c:v>44412</c:v>
                </c:pt>
                <c:pt idx="690">
                  <c:v>44413</c:v>
                </c:pt>
                <c:pt idx="691">
                  <c:v>44414</c:v>
                </c:pt>
                <c:pt idx="692">
                  <c:v>44417</c:v>
                </c:pt>
                <c:pt idx="693">
                  <c:v>44418</c:v>
                </c:pt>
                <c:pt idx="694">
                  <c:v>44419</c:v>
                </c:pt>
                <c:pt idx="695">
                  <c:v>44420</c:v>
                </c:pt>
                <c:pt idx="696">
                  <c:v>44421</c:v>
                </c:pt>
                <c:pt idx="697">
                  <c:v>44424</c:v>
                </c:pt>
                <c:pt idx="698">
                  <c:v>44425</c:v>
                </c:pt>
                <c:pt idx="699">
                  <c:v>44426</c:v>
                </c:pt>
                <c:pt idx="700">
                  <c:v>44427</c:v>
                </c:pt>
                <c:pt idx="701">
                  <c:v>44428</c:v>
                </c:pt>
                <c:pt idx="702">
                  <c:v>44431</c:v>
                </c:pt>
                <c:pt idx="703">
                  <c:v>44432</c:v>
                </c:pt>
                <c:pt idx="704">
                  <c:v>44433</c:v>
                </c:pt>
                <c:pt idx="705">
                  <c:v>44434</c:v>
                </c:pt>
                <c:pt idx="706">
                  <c:v>44435</c:v>
                </c:pt>
                <c:pt idx="707">
                  <c:v>44438</c:v>
                </c:pt>
                <c:pt idx="708">
                  <c:v>44439</c:v>
                </c:pt>
                <c:pt idx="709">
                  <c:v>44440</c:v>
                </c:pt>
                <c:pt idx="710">
                  <c:v>44441</c:v>
                </c:pt>
                <c:pt idx="711">
                  <c:v>44442</c:v>
                </c:pt>
                <c:pt idx="712">
                  <c:v>44446</c:v>
                </c:pt>
                <c:pt idx="713">
                  <c:v>44447</c:v>
                </c:pt>
                <c:pt idx="714">
                  <c:v>44448</c:v>
                </c:pt>
                <c:pt idx="715">
                  <c:v>44449</c:v>
                </c:pt>
                <c:pt idx="716">
                  <c:v>44452</c:v>
                </c:pt>
                <c:pt idx="717">
                  <c:v>44453</c:v>
                </c:pt>
                <c:pt idx="718">
                  <c:v>44454</c:v>
                </c:pt>
                <c:pt idx="719">
                  <c:v>44455</c:v>
                </c:pt>
                <c:pt idx="720">
                  <c:v>44456</c:v>
                </c:pt>
                <c:pt idx="721">
                  <c:v>44459</c:v>
                </c:pt>
                <c:pt idx="722">
                  <c:v>44460</c:v>
                </c:pt>
                <c:pt idx="723">
                  <c:v>44461</c:v>
                </c:pt>
                <c:pt idx="724">
                  <c:v>44462</c:v>
                </c:pt>
                <c:pt idx="725">
                  <c:v>44463</c:v>
                </c:pt>
                <c:pt idx="726">
                  <c:v>44466</c:v>
                </c:pt>
                <c:pt idx="727">
                  <c:v>44467</c:v>
                </c:pt>
                <c:pt idx="728">
                  <c:v>44468</c:v>
                </c:pt>
                <c:pt idx="729">
                  <c:v>44469</c:v>
                </c:pt>
                <c:pt idx="730">
                  <c:v>44470</c:v>
                </c:pt>
                <c:pt idx="731">
                  <c:v>44473</c:v>
                </c:pt>
                <c:pt idx="732">
                  <c:v>44474</c:v>
                </c:pt>
                <c:pt idx="733">
                  <c:v>44475</c:v>
                </c:pt>
                <c:pt idx="734">
                  <c:v>44476</c:v>
                </c:pt>
                <c:pt idx="735">
                  <c:v>44477</c:v>
                </c:pt>
                <c:pt idx="736">
                  <c:v>44480</c:v>
                </c:pt>
                <c:pt idx="737">
                  <c:v>44481</c:v>
                </c:pt>
                <c:pt idx="738">
                  <c:v>44482</c:v>
                </c:pt>
                <c:pt idx="739">
                  <c:v>44483</c:v>
                </c:pt>
                <c:pt idx="740">
                  <c:v>44484</c:v>
                </c:pt>
                <c:pt idx="741">
                  <c:v>44487</c:v>
                </c:pt>
                <c:pt idx="742">
                  <c:v>44488</c:v>
                </c:pt>
                <c:pt idx="743">
                  <c:v>44489</c:v>
                </c:pt>
                <c:pt idx="744">
                  <c:v>44490</c:v>
                </c:pt>
                <c:pt idx="745">
                  <c:v>44491</c:v>
                </c:pt>
                <c:pt idx="746">
                  <c:v>44494</c:v>
                </c:pt>
                <c:pt idx="747">
                  <c:v>44495</c:v>
                </c:pt>
                <c:pt idx="748">
                  <c:v>44496</c:v>
                </c:pt>
                <c:pt idx="749">
                  <c:v>44497</c:v>
                </c:pt>
                <c:pt idx="750">
                  <c:v>44498</c:v>
                </c:pt>
                <c:pt idx="751">
                  <c:v>44501</c:v>
                </c:pt>
                <c:pt idx="752">
                  <c:v>44502</c:v>
                </c:pt>
                <c:pt idx="753">
                  <c:v>44503</c:v>
                </c:pt>
                <c:pt idx="754">
                  <c:v>44504</c:v>
                </c:pt>
                <c:pt idx="755">
                  <c:v>44505</c:v>
                </c:pt>
                <c:pt idx="756">
                  <c:v>44508</c:v>
                </c:pt>
                <c:pt idx="757">
                  <c:v>44509</c:v>
                </c:pt>
                <c:pt idx="758">
                  <c:v>44510</c:v>
                </c:pt>
                <c:pt idx="759">
                  <c:v>44511</c:v>
                </c:pt>
                <c:pt idx="760">
                  <c:v>44512</c:v>
                </c:pt>
                <c:pt idx="761">
                  <c:v>44515</c:v>
                </c:pt>
                <c:pt idx="762">
                  <c:v>44516</c:v>
                </c:pt>
                <c:pt idx="763">
                  <c:v>44517</c:v>
                </c:pt>
                <c:pt idx="764">
                  <c:v>44518</c:v>
                </c:pt>
                <c:pt idx="765">
                  <c:v>44519</c:v>
                </c:pt>
                <c:pt idx="766">
                  <c:v>44522</c:v>
                </c:pt>
                <c:pt idx="767">
                  <c:v>44523</c:v>
                </c:pt>
                <c:pt idx="768">
                  <c:v>44524</c:v>
                </c:pt>
                <c:pt idx="769">
                  <c:v>44526</c:v>
                </c:pt>
                <c:pt idx="770">
                  <c:v>44529</c:v>
                </c:pt>
                <c:pt idx="771">
                  <c:v>44530</c:v>
                </c:pt>
                <c:pt idx="772">
                  <c:v>44531</c:v>
                </c:pt>
                <c:pt idx="773">
                  <c:v>44532</c:v>
                </c:pt>
                <c:pt idx="774">
                  <c:v>44533</c:v>
                </c:pt>
                <c:pt idx="775">
                  <c:v>44536</c:v>
                </c:pt>
                <c:pt idx="776">
                  <c:v>44537</c:v>
                </c:pt>
                <c:pt idx="777">
                  <c:v>44538</c:v>
                </c:pt>
                <c:pt idx="778">
                  <c:v>44539</c:v>
                </c:pt>
                <c:pt idx="779">
                  <c:v>44540</c:v>
                </c:pt>
                <c:pt idx="780">
                  <c:v>44543</c:v>
                </c:pt>
                <c:pt idx="781">
                  <c:v>44544</c:v>
                </c:pt>
                <c:pt idx="782">
                  <c:v>44545</c:v>
                </c:pt>
                <c:pt idx="783">
                  <c:v>44546</c:v>
                </c:pt>
                <c:pt idx="784">
                  <c:v>44547</c:v>
                </c:pt>
                <c:pt idx="785">
                  <c:v>44550</c:v>
                </c:pt>
                <c:pt idx="786">
                  <c:v>44551</c:v>
                </c:pt>
                <c:pt idx="787">
                  <c:v>44552</c:v>
                </c:pt>
                <c:pt idx="788">
                  <c:v>44553</c:v>
                </c:pt>
                <c:pt idx="789">
                  <c:v>44557</c:v>
                </c:pt>
                <c:pt idx="790">
                  <c:v>44558</c:v>
                </c:pt>
                <c:pt idx="791">
                  <c:v>44559</c:v>
                </c:pt>
                <c:pt idx="792">
                  <c:v>44560</c:v>
                </c:pt>
                <c:pt idx="793">
                  <c:v>44561</c:v>
                </c:pt>
                <c:pt idx="794">
                  <c:v>44564</c:v>
                </c:pt>
                <c:pt idx="795">
                  <c:v>44565</c:v>
                </c:pt>
                <c:pt idx="796">
                  <c:v>44566</c:v>
                </c:pt>
                <c:pt idx="797">
                  <c:v>44567</c:v>
                </c:pt>
                <c:pt idx="798">
                  <c:v>44568</c:v>
                </c:pt>
                <c:pt idx="799">
                  <c:v>44571</c:v>
                </c:pt>
                <c:pt idx="800">
                  <c:v>44572</c:v>
                </c:pt>
                <c:pt idx="801">
                  <c:v>44573</c:v>
                </c:pt>
                <c:pt idx="802">
                  <c:v>44574</c:v>
                </c:pt>
                <c:pt idx="803">
                  <c:v>44575</c:v>
                </c:pt>
                <c:pt idx="804">
                  <c:v>44579</c:v>
                </c:pt>
                <c:pt idx="805">
                  <c:v>44580</c:v>
                </c:pt>
                <c:pt idx="806">
                  <c:v>44581</c:v>
                </c:pt>
                <c:pt idx="807">
                  <c:v>44582</c:v>
                </c:pt>
                <c:pt idx="808">
                  <c:v>44585</c:v>
                </c:pt>
                <c:pt idx="809">
                  <c:v>44586</c:v>
                </c:pt>
                <c:pt idx="810">
                  <c:v>44587</c:v>
                </c:pt>
                <c:pt idx="811">
                  <c:v>44588</c:v>
                </c:pt>
                <c:pt idx="812">
                  <c:v>44589</c:v>
                </c:pt>
                <c:pt idx="813">
                  <c:v>44592</c:v>
                </c:pt>
                <c:pt idx="814">
                  <c:v>44593</c:v>
                </c:pt>
                <c:pt idx="815">
                  <c:v>44594</c:v>
                </c:pt>
                <c:pt idx="816">
                  <c:v>44595</c:v>
                </c:pt>
                <c:pt idx="817">
                  <c:v>44596</c:v>
                </c:pt>
                <c:pt idx="818">
                  <c:v>44599</c:v>
                </c:pt>
                <c:pt idx="819">
                  <c:v>44600</c:v>
                </c:pt>
                <c:pt idx="820">
                  <c:v>44601</c:v>
                </c:pt>
                <c:pt idx="821">
                  <c:v>44602</c:v>
                </c:pt>
                <c:pt idx="822">
                  <c:v>44603</c:v>
                </c:pt>
                <c:pt idx="823">
                  <c:v>44606</c:v>
                </c:pt>
                <c:pt idx="824">
                  <c:v>44607</c:v>
                </c:pt>
                <c:pt idx="825">
                  <c:v>44608</c:v>
                </c:pt>
                <c:pt idx="826">
                  <c:v>44609</c:v>
                </c:pt>
                <c:pt idx="827">
                  <c:v>44610</c:v>
                </c:pt>
                <c:pt idx="828">
                  <c:v>44614</c:v>
                </c:pt>
                <c:pt idx="829">
                  <c:v>44615</c:v>
                </c:pt>
                <c:pt idx="830">
                  <c:v>44616</c:v>
                </c:pt>
                <c:pt idx="831">
                  <c:v>44617</c:v>
                </c:pt>
                <c:pt idx="832">
                  <c:v>44620</c:v>
                </c:pt>
                <c:pt idx="833">
                  <c:v>44621</c:v>
                </c:pt>
                <c:pt idx="834">
                  <c:v>44622</c:v>
                </c:pt>
                <c:pt idx="835">
                  <c:v>44623</c:v>
                </c:pt>
                <c:pt idx="836">
                  <c:v>44624</c:v>
                </c:pt>
                <c:pt idx="837">
                  <c:v>44627</c:v>
                </c:pt>
                <c:pt idx="838">
                  <c:v>44628</c:v>
                </c:pt>
                <c:pt idx="839">
                  <c:v>44629</c:v>
                </c:pt>
                <c:pt idx="840">
                  <c:v>44630</c:v>
                </c:pt>
                <c:pt idx="841">
                  <c:v>44631</c:v>
                </c:pt>
                <c:pt idx="842">
                  <c:v>44634</c:v>
                </c:pt>
                <c:pt idx="843">
                  <c:v>44635</c:v>
                </c:pt>
                <c:pt idx="844">
                  <c:v>44636</c:v>
                </c:pt>
                <c:pt idx="845">
                  <c:v>44637</c:v>
                </c:pt>
                <c:pt idx="846">
                  <c:v>44638</c:v>
                </c:pt>
                <c:pt idx="847">
                  <c:v>44641</c:v>
                </c:pt>
                <c:pt idx="848">
                  <c:v>44642</c:v>
                </c:pt>
                <c:pt idx="849">
                  <c:v>44643</c:v>
                </c:pt>
                <c:pt idx="850">
                  <c:v>44644</c:v>
                </c:pt>
                <c:pt idx="851">
                  <c:v>44645</c:v>
                </c:pt>
                <c:pt idx="852">
                  <c:v>44648</c:v>
                </c:pt>
                <c:pt idx="853">
                  <c:v>44649</c:v>
                </c:pt>
                <c:pt idx="854">
                  <c:v>44650</c:v>
                </c:pt>
                <c:pt idx="855">
                  <c:v>44651</c:v>
                </c:pt>
                <c:pt idx="856">
                  <c:v>44652</c:v>
                </c:pt>
                <c:pt idx="857">
                  <c:v>44655</c:v>
                </c:pt>
                <c:pt idx="858">
                  <c:v>44656</c:v>
                </c:pt>
                <c:pt idx="859">
                  <c:v>44657</c:v>
                </c:pt>
                <c:pt idx="860">
                  <c:v>44658</c:v>
                </c:pt>
                <c:pt idx="861">
                  <c:v>44659</c:v>
                </c:pt>
                <c:pt idx="862">
                  <c:v>44662</c:v>
                </c:pt>
                <c:pt idx="863">
                  <c:v>44663</c:v>
                </c:pt>
                <c:pt idx="864">
                  <c:v>44664</c:v>
                </c:pt>
                <c:pt idx="865">
                  <c:v>44665</c:v>
                </c:pt>
                <c:pt idx="866">
                  <c:v>44669</c:v>
                </c:pt>
                <c:pt idx="867">
                  <c:v>44670</c:v>
                </c:pt>
                <c:pt idx="868">
                  <c:v>44671</c:v>
                </c:pt>
                <c:pt idx="869">
                  <c:v>44672</c:v>
                </c:pt>
                <c:pt idx="870">
                  <c:v>44673</c:v>
                </c:pt>
                <c:pt idx="871">
                  <c:v>44676</c:v>
                </c:pt>
                <c:pt idx="872">
                  <c:v>44677</c:v>
                </c:pt>
                <c:pt idx="873">
                  <c:v>44678</c:v>
                </c:pt>
                <c:pt idx="874">
                  <c:v>44679</c:v>
                </c:pt>
                <c:pt idx="875">
                  <c:v>44680</c:v>
                </c:pt>
                <c:pt idx="876">
                  <c:v>44683</c:v>
                </c:pt>
                <c:pt idx="877">
                  <c:v>44684</c:v>
                </c:pt>
                <c:pt idx="878">
                  <c:v>44685</c:v>
                </c:pt>
                <c:pt idx="879">
                  <c:v>44686</c:v>
                </c:pt>
                <c:pt idx="880">
                  <c:v>44687</c:v>
                </c:pt>
                <c:pt idx="881">
                  <c:v>44690</c:v>
                </c:pt>
                <c:pt idx="882">
                  <c:v>44691</c:v>
                </c:pt>
                <c:pt idx="883">
                  <c:v>44692</c:v>
                </c:pt>
                <c:pt idx="884">
                  <c:v>44693</c:v>
                </c:pt>
                <c:pt idx="885">
                  <c:v>44694</c:v>
                </c:pt>
                <c:pt idx="886">
                  <c:v>44697</c:v>
                </c:pt>
                <c:pt idx="887">
                  <c:v>44698</c:v>
                </c:pt>
                <c:pt idx="888">
                  <c:v>44699</c:v>
                </c:pt>
                <c:pt idx="889">
                  <c:v>44700</c:v>
                </c:pt>
                <c:pt idx="890">
                  <c:v>44701</c:v>
                </c:pt>
                <c:pt idx="891">
                  <c:v>44704</c:v>
                </c:pt>
                <c:pt idx="892">
                  <c:v>44705</c:v>
                </c:pt>
                <c:pt idx="893">
                  <c:v>44706</c:v>
                </c:pt>
                <c:pt idx="894">
                  <c:v>44707</c:v>
                </c:pt>
                <c:pt idx="895">
                  <c:v>44708</c:v>
                </c:pt>
                <c:pt idx="896">
                  <c:v>44712</c:v>
                </c:pt>
                <c:pt idx="897">
                  <c:v>44713</c:v>
                </c:pt>
                <c:pt idx="898">
                  <c:v>44714</c:v>
                </c:pt>
                <c:pt idx="899">
                  <c:v>44715</c:v>
                </c:pt>
                <c:pt idx="900">
                  <c:v>44718</c:v>
                </c:pt>
                <c:pt idx="901">
                  <c:v>44719</c:v>
                </c:pt>
                <c:pt idx="902">
                  <c:v>44720</c:v>
                </c:pt>
                <c:pt idx="903">
                  <c:v>44721</c:v>
                </c:pt>
                <c:pt idx="904">
                  <c:v>44722</c:v>
                </c:pt>
                <c:pt idx="905">
                  <c:v>44725</c:v>
                </c:pt>
                <c:pt idx="906">
                  <c:v>44726</c:v>
                </c:pt>
                <c:pt idx="907">
                  <c:v>44727</c:v>
                </c:pt>
                <c:pt idx="908">
                  <c:v>44728</c:v>
                </c:pt>
                <c:pt idx="909">
                  <c:v>44729</c:v>
                </c:pt>
                <c:pt idx="910">
                  <c:v>44733</c:v>
                </c:pt>
                <c:pt idx="911">
                  <c:v>44734</c:v>
                </c:pt>
                <c:pt idx="912">
                  <c:v>44735</c:v>
                </c:pt>
                <c:pt idx="913">
                  <c:v>44736</c:v>
                </c:pt>
                <c:pt idx="914">
                  <c:v>44739</c:v>
                </c:pt>
                <c:pt idx="915">
                  <c:v>44740</c:v>
                </c:pt>
                <c:pt idx="916">
                  <c:v>44741</c:v>
                </c:pt>
                <c:pt idx="917">
                  <c:v>44742</c:v>
                </c:pt>
                <c:pt idx="918">
                  <c:v>44743</c:v>
                </c:pt>
                <c:pt idx="919">
                  <c:v>44747</c:v>
                </c:pt>
                <c:pt idx="920">
                  <c:v>44748</c:v>
                </c:pt>
                <c:pt idx="921">
                  <c:v>44749</c:v>
                </c:pt>
                <c:pt idx="922">
                  <c:v>44750</c:v>
                </c:pt>
                <c:pt idx="923">
                  <c:v>44753</c:v>
                </c:pt>
                <c:pt idx="924">
                  <c:v>44754</c:v>
                </c:pt>
                <c:pt idx="925">
                  <c:v>44755</c:v>
                </c:pt>
                <c:pt idx="926">
                  <c:v>44756</c:v>
                </c:pt>
                <c:pt idx="927">
                  <c:v>44757</c:v>
                </c:pt>
                <c:pt idx="928">
                  <c:v>44760</c:v>
                </c:pt>
                <c:pt idx="929">
                  <c:v>44761</c:v>
                </c:pt>
                <c:pt idx="930">
                  <c:v>44762</c:v>
                </c:pt>
                <c:pt idx="931">
                  <c:v>44763</c:v>
                </c:pt>
                <c:pt idx="932">
                  <c:v>44764</c:v>
                </c:pt>
                <c:pt idx="933">
                  <c:v>44767</c:v>
                </c:pt>
                <c:pt idx="934">
                  <c:v>44768</c:v>
                </c:pt>
                <c:pt idx="935">
                  <c:v>44769</c:v>
                </c:pt>
                <c:pt idx="936">
                  <c:v>44770</c:v>
                </c:pt>
                <c:pt idx="937">
                  <c:v>44771</c:v>
                </c:pt>
                <c:pt idx="938">
                  <c:v>44774</c:v>
                </c:pt>
                <c:pt idx="939">
                  <c:v>44775</c:v>
                </c:pt>
                <c:pt idx="940">
                  <c:v>44776</c:v>
                </c:pt>
                <c:pt idx="941">
                  <c:v>44777</c:v>
                </c:pt>
                <c:pt idx="942">
                  <c:v>44778</c:v>
                </c:pt>
                <c:pt idx="943">
                  <c:v>44781</c:v>
                </c:pt>
                <c:pt idx="944">
                  <c:v>44782</c:v>
                </c:pt>
                <c:pt idx="945">
                  <c:v>44783</c:v>
                </c:pt>
                <c:pt idx="946">
                  <c:v>44784</c:v>
                </c:pt>
                <c:pt idx="947">
                  <c:v>44785</c:v>
                </c:pt>
                <c:pt idx="948">
                  <c:v>44788</c:v>
                </c:pt>
                <c:pt idx="949">
                  <c:v>44789</c:v>
                </c:pt>
                <c:pt idx="950">
                  <c:v>44790</c:v>
                </c:pt>
                <c:pt idx="951">
                  <c:v>44791</c:v>
                </c:pt>
                <c:pt idx="952">
                  <c:v>44792</c:v>
                </c:pt>
                <c:pt idx="953">
                  <c:v>44795</c:v>
                </c:pt>
                <c:pt idx="954">
                  <c:v>44796</c:v>
                </c:pt>
                <c:pt idx="955">
                  <c:v>44797</c:v>
                </c:pt>
                <c:pt idx="956">
                  <c:v>44798</c:v>
                </c:pt>
                <c:pt idx="957">
                  <c:v>44799</c:v>
                </c:pt>
                <c:pt idx="958">
                  <c:v>44802</c:v>
                </c:pt>
                <c:pt idx="959">
                  <c:v>44803</c:v>
                </c:pt>
                <c:pt idx="960">
                  <c:v>44804</c:v>
                </c:pt>
                <c:pt idx="961">
                  <c:v>44805</c:v>
                </c:pt>
                <c:pt idx="962">
                  <c:v>44806</c:v>
                </c:pt>
                <c:pt idx="963">
                  <c:v>44810</c:v>
                </c:pt>
                <c:pt idx="964">
                  <c:v>44811</c:v>
                </c:pt>
                <c:pt idx="965">
                  <c:v>44812</c:v>
                </c:pt>
                <c:pt idx="966">
                  <c:v>44813</c:v>
                </c:pt>
                <c:pt idx="967">
                  <c:v>44816</c:v>
                </c:pt>
                <c:pt idx="968">
                  <c:v>44817</c:v>
                </c:pt>
                <c:pt idx="969">
                  <c:v>44818</c:v>
                </c:pt>
                <c:pt idx="970">
                  <c:v>44819</c:v>
                </c:pt>
                <c:pt idx="971">
                  <c:v>44820</c:v>
                </c:pt>
                <c:pt idx="972">
                  <c:v>44823</c:v>
                </c:pt>
                <c:pt idx="973">
                  <c:v>44824</c:v>
                </c:pt>
                <c:pt idx="974">
                  <c:v>44825</c:v>
                </c:pt>
                <c:pt idx="975">
                  <c:v>44826</c:v>
                </c:pt>
                <c:pt idx="976">
                  <c:v>44827</c:v>
                </c:pt>
                <c:pt idx="977">
                  <c:v>44830</c:v>
                </c:pt>
                <c:pt idx="978">
                  <c:v>44831</c:v>
                </c:pt>
                <c:pt idx="979">
                  <c:v>44832</c:v>
                </c:pt>
                <c:pt idx="980">
                  <c:v>44833</c:v>
                </c:pt>
                <c:pt idx="981">
                  <c:v>44834</c:v>
                </c:pt>
                <c:pt idx="982">
                  <c:v>44837</c:v>
                </c:pt>
                <c:pt idx="983">
                  <c:v>44838</c:v>
                </c:pt>
                <c:pt idx="984">
                  <c:v>44839</c:v>
                </c:pt>
                <c:pt idx="985">
                  <c:v>44840</c:v>
                </c:pt>
                <c:pt idx="986">
                  <c:v>44841</c:v>
                </c:pt>
                <c:pt idx="987">
                  <c:v>44844</c:v>
                </c:pt>
                <c:pt idx="988">
                  <c:v>44845</c:v>
                </c:pt>
                <c:pt idx="989">
                  <c:v>44846</c:v>
                </c:pt>
                <c:pt idx="990">
                  <c:v>44847</c:v>
                </c:pt>
                <c:pt idx="991">
                  <c:v>44848</c:v>
                </c:pt>
                <c:pt idx="992">
                  <c:v>44851</c:v>
                </c:pt>
                <c:pt idx="993">
                  <c:v>44852</c:v>
                </c:pt>
                <c:pt idx="994">
                  <c:v>44853</c:v>
                </c:pt>
                <c:pt idx="995">
                  <c:v>44854</c:v>
                </c:pt>
                <c:pt idx="996">
                  <c:v>44855</c:v>
                </c:pt>
                <c:pt idx="997">
                  <c:v>44858</c:v>
                </c:pt>
                <c:pt idx="998">
                  <c:v>44859</c:v>
                </c:pt>
                <c:pt idx="999">
                  <c:v>44860</c:v>
                </c:pt>
                <c:pt idx="1000">
                  <c:v>44861</c:v>
                </c:pt>
                <c:pt idx="1001">
                  <c:v>44862</c:v>
                </c:pt>
                <c:pt idx="1002">
                  <c:v>44865</c:v>
                </c:pt>
                <c:pt idx="1003">
                  <c:v>44866</c:v>
                </c:pt>
                <c:pt idx="1004">
                  <c:v>44867</c:v>
                </c:pt>
                <c:pt idx="1005">
                  <c:v>44868</c:v>
                </c:pt>
                <c:pt idx="1006">
                  <c:v>44869</c:v>
                </c:pt>
                <c:pt idx="1007">
                  <c:v>44872</c:v>
                </c:pt>
                <c:pt idx="1008">
                  <c:v>44873</c:v>
                </c:pt>
                <c:pt idx="1009">
                  <c:v>44874</c:v>
                </c:pt>
                <c:pt idx="1010">
                  <c:v>44875</c:v>
                </c:pt>
                <c:pt idx="1011">
                  <c:v>44876</c:v>
                </c:pt>
                <c:pt idx="1012">
                  <c:v>44879</c:v>
                </c:pt>
                <c:pt idx="1013">
                  <c:v>44880</c:v>
                </c:pt>
                <c:pt idx="1014">
                  <c:v>44881</c:v>
                </c:pt>
                <c:pt idx="1015">
                  <c:v>44882</c:v>
                </c:pt>
                <c:pt idx="1016">
                  <c:v>44883</c:v>
                </c:pt>
                <c:pt idx="1017">
                  <c:v>44886</c:v>
                </c:pt>
                <c:pt idx="1018">
                  <c:v>44887</c:v>
                </c:pt>
                <c:pt idx="1019">
                  <c:v>44888</c:v>
                </c:pt>
                <c:pt idx="1020">
                  <c:v>44890</c:v>
                </c:pt>
                <c:pt idx="1021">
                  <c:v>44893</c:v>
                </c:pt>
                <c:pt idx="1022">
                  <c:v>44894</c:v>
                </c:pt>
                <c:pt idx="1023">
                  <c:v>44895</c:v>
                </c:pt>
                <c:pt idx="1024">
                  <c:v>44896</c:v>
                </c:pt>
                <c:pt idx="1025">
                  <c:v>44897</c:v>
                </c:pt>
                <c:pt idx="1026">
                  <c:v>44900</c:v>
                </c:pt>
                <c:pt idx="1027">
                  <c:v>44901</c:v>
                </c:pt>
                <c:pt idx="1028">
                  <c:v>44902</c:v>
                </c:pt>
                <c:pt idx="1029">
                  <c:v>44903</c:v>
                </c:pt>
                <c:pt idx="1030">
                  <c:v>44904</c:v>
                </c:pt>
                <c:pt idx="1031">
                  <c:v>44907</c:v>
                </c:pt>
                <c:pt idx="1032">
                  <c:v>44908</c:v>
                </c:pt>
                <c:pt idx="1033">
                  <c:v>44909</c:v>
                </c:pt>
                <c:pt idx="1034">
                  <c:v>44910</c:v>
                </c:pt>
                <c:pt idx="1035">
                  <c:v>44911</c:v>
                </c:pt>
                <c:pt idx="1036">
                  <c:v>44914</c:v>
                </c:pt>
                <c:pt idx="1037">
                  <c:v>44915</c:v>
                </c:pt>
                <c:pt idx="1038">
                  <c:v>44916</c:v>
                </c:pt>
                <c:pt idx="1039">
                  <c:v>44917</c:v>
                </c:pt>
                <c:pt idx="1040">
                  <c:v>44918</c:v>
                </c:pt>
                <c:pt idx="1041">
                  <c:v>44922</c:v>
                </c:pt>
                <c:pt idx="1042">
                  <c:v>44923</c:v>
                </c:pt>
                <c:pt idx="1043">
                  <c:v>44924</c:v>
                </c:pt>
                <c:pt idx="1044">
                  <c:v>44925</c:v>
                </c:pt>
                <c:pt idx="1045">
                  <c:v>44929</c:v>
                </c:pt>
                <c:pt idx="1046">
                  <c:v>44930</c:v>
                </c:pt>
                <c:pt idx="1047">
                  <c:v>44931</c:v>
                </c:pt>
                <c:pt idx="1048">
                  <c:v>44932</c:v>
                </c:pt>
                <c:pt idx="1049">
                  <c:v>44935</c:v>
                </c:pt>
                <c:pt idx="1050">
                  <c:v>44936</c:v>
                </c:pt>
                <c:pt idx="1051">
                  <c:v>44937</c:v>
                </c:pt>
                <c:pt idx="1052">
                  <c:v>44938</c:v>
                </c:pt>
                <c:pt idx="1053">
                  <c:v>44939</c:v>
                </c:pt>
                <c:pt idx="1054">
                  <c:v>44943</c:v>
                </c:pt>
                <c:pt idx="1055">
                  <c:v>44944</c:v>
                </c:pt>
                <c:pt idx="1056">
                  <c:v>44945</c:v>
                </c:pt>
                <c:pt idx="1057">
                  <c:v>44946</c:v>
                </c:pt>
                <c:pt idx="1058">
                  <c:v>44949</c:v>
                </c:pt>
                <c:pt idx="1059">
                  <c:v>44950</c:v>
                </c:pt>
                <c:pt idx="1060">
                  <c:v>44951</c:v>
                </c:pt>
                <c:pt idx="1061">
                  <c:v>44952</c:v>
                </c:pt>
                <c:pt idx="1062">
                  <c:v>44953</c:v>
                </c:pt>
                <c:pt idx="1063">
                  <c:v>44956</c:v>
                </c:pt>
                <c:pt idx="1064">
                  <c:v>44957</c:v>
                </c:pt>
                <c:pt idx="1065">
                  <c:v>44958</c:v>
                </c:pt>
                <c:pt idx="1066">
                  <c:v>44959</c:v>
                </c:pt>
                <c:pt idx="1067">
                  <c:v>44960</c:v>
                </c:pt>
                <c:pt idx="1068">
                  <c:v>44963</c:v>
                </c:pt>
                <c:pt idx="1069">
                  <c:v>44964</c:v>
                </c:pt>
                <c:pt idx="1070">
                  <c:v>44965</c:v>
                </c:pt>
                <c:pt idx="1071">
                  <c:v>44966</c:v>
                </c:pt>
                <c:pt idx="1072">
                  <c:v>44967</c:v>
                </c:pt>
                <c:pt idx="1073">
                  <c:v>44970</c:v>
                </c:pt>
                <c:pt idx="1074">
                  <c:v>44971</c:v>
                </c:pt>
                <c:pt idx="1075">
                  <c:v>44972</c:v>
                </c:pt>
                <c:pt idx="1076">
                  <c:v>44973</c:v>
                </c:pt>
                <c:pt idx="1077">
                  <c:v>44974</c:v>
                </c:pt>
                <c:pt idx="1078">
                  <c:v>44978</c:v>
                </c:pt>
                <c:pt idx="1079">
                  <c:v>44979</c:v>
                </c:pt>
                <c:pt idx="1080">
                  <c:v>44980</c:v>
                </c:pt>
                <c:pt idx="1081">
                  <c:v>44981</c:v>
                </c:pt>
                <c:pt idx="1082">
                  <c:v>44984</c:v>
                </c:pt>
                <c:pt idx="1083">
                  <c:v>44985</c:v>
                </c:pt>
                <c:pt idx="1084">
                  <c:v>44986</c:v>
                </c:pt>
                <c:pt idx="1085">
                  <c:v>44987</c:v>
                </c:pt>
                <c:pt idx="1086">
                  <c:v>44988</c:v>
                </c:pt>
                <c:pt idx="1087">
                  <c:v>44991</c:v>
                </c:pt>
                <c:pt idx="1088">
                  <c:v>44992</c:v>
                </c:pt>
                <c:pt idx="1089">
                  <c:v>44993</c:v>
                </c:pt>
                <c:pt idx="1090">
                  <c:v>44994</c:v>
                </c:pt>
                <c:pt idx="1091">
                  <c:v>44995</c:v>
                </c:pt>
                <c:pt idx="1092">
                  <c:v>44998</c:v>
                </c:pt>
                <c:pt idx="1093">
                  <c:v>44999</c:v>
                </c:pt>
                <c:pt idx="1094">
                  <c:v>45000</c:v>
                </c:pt>
                <c:pt idx="1095">
                  <c:v>45001</c:v>
                </c:pt>
                <c:pt idx="1096">
                  <c:v>45002</c:v>
                </c:pt>
                <c:pt idx="1097">
                  <c:v>45005</c:v>
                </c:pt>
                <c:pt idx="1098">
                  <c:v>45006</c:v>
                </c:pt>
                <c:pt idx="1099">
                  <c:v>45007</c:v>
                </c:pt>
                <c:pt idx="1100">
                  <c:v>45008</c:v>
                </c:pt>
                <c:pt idx="1101">
                  <c:v>45009</c:v>
                </c:pt>
                <c:pt idx="1102">
                  <c:v>45012</c:v>
                </c:pt>
                <c:pt idx="1103">
                  <c:v>45013</c:v>
                </c:pt>
                <c:pt idx="1104">
                  <c:v>45014</c:v>
                </c:pt>
                <c:pt idx="1105">
                  <c:v>45015</c:v>
                </c:pt>
                <c:pt idx="1106">
                  <c:v>45016</c:v>
                </c:pt>
                <c:pt idx="1107">
                  <c:v>45019</c:v>
                </c:pt>
                <c:pt idx="1108">
                  <c:v>45020</c:v>
                </c:pt>
                <c:pt idx="1109">
                  <c:v>45021</c:v>
                </c:pt>
                <c:pt idx="1110">
                  <c:v>45022</c:v>
                </c:pt>
                <c:pt idx="1111">
                  <c:v>45026</c:v>
                </c:pt>
                <c:pt idx="1112">
                  <c:v>45027</c:v>
                </c:pt>
                <c:pt idx="1113">
                  <c:v>45028</c:v>
                </c:pt>
                <c:pt idx="1114">
                  <c:v>45029</c:v>
                </c:pt>
                <c:pt idx="1115">
                  <c:v>45030</c:v>
                </c:pt>
                <c:pt idx="1116">
                  <c:v>45033</c:v>
                </c:pt>
                <c:pt idx="1117">
                  <c:v>45034</c:v>
                </c:pt>
                <c:pt idx="1118">
                  <c:v>45035</c:v>
                </c:pt>
                <c:pt idx="1119">
                  <c:v>45036</c:v>
                </c:pt>
                <c:pt idx="1120">
                  <c:v>45037</c:v>
                </c:pt>
                <c:pt idx="1121">
                  <c:v>45040</c:v>
                </c:pt>
                <c:pt idx="1122">
                  <c:v>45041</c:v>
                </c:pt>
                <c:pt idx="1123">
                  <c:v>45042</c:v>
                </c:pt>
                <c:pt idx="1124">
                  <c:v>45043</c:v>
                </c:pt>
                <c:pt idx="1125">
                  <c:v>45044</c:v>
                </c:pt>
                <c:pt idx="1126">
                  <c:v>45047</c:v>
                </c:pt>
                <c:pt idx="1127">
                  <c:v>45048</c:v>
                </c:pt>
                <c:pt idx="1128">
                  <c:v>45049</c:v>
                </c:pt>
                <c:pt idx="1129">
                  <c:v>45050</c:v>
                </c:pt>
                <c:pt idx="1130">
                  <c:v>45051</c:v>
                </c:pt>
                <c:pt idx="1131">
                  <c:v>45054</c:v>
                </c:pt>
                <c:pt idx="1132">
                  <c:v>45055</c:v>
                </c:pt>
                <c:pt idx="1133">
                  <c:v>45056</c:v>
                </c:pt>
                <c:pt idx="1134">
                  <c:v>45057</c:v>
                </c:pt>
                <c:pt idx="1135">
                  <c:v>45058</c:v>
                </c:pt>
                <c:pt idx="1136">
                  <c:v>45061</c:v>
                </c:pt>
                <c:pt idx="1137">
                  <c:v>45062</c:v>
                </c:pt>
                <c:pt idx="1138">
                  <c:v>45063</c:v>
                </c:pt>
                <c:pt idx="1139">
                  <c:v>45064</c:v>
                </c:pt>
                <c:pt idx="1140">
                  <c:v>45065</c:v>
                </c:pt>
                <c:pt idx="1141">
                  <c:v>45068</c:v>
                </c:pt>
                <c:pt idx="1142">
                  <c:v>45069</c:v>
                </c:pt>
                <c:pt idx="1143">
                  <c:v>45070</c:v>
                </c:pt>
                <c:pt idx="1144">
                  <c:v>45071</c:v>
                </c:pt>
                <c:pt idx="1145">
                  <c:v>45072</c:v>
                </c:pt>
                <c:pt idx="1146">
                  <c:v>45076</c:v>
                </c:pt>
                <c:pt idx="1147">
                  <c:v>45077</c:v>
                </c:pt>
                <c:pt idx="1148">
                  <c:v>45078</c:v>
                </c:pt>
                <c:pt idx="1149">
                  <c:v>45079</c:v>
                </c:pt>
                <c:pt idx="1150">
                  <c:v>45082</c:v>
                </c:pt>
                <c:pt idx="1151">
                  <c:v>45083</c:v>
                </c:pt>
                <c:pt idx="1152">
                  <c:v>45084</c:v>
                </c:pt>
                <c:pt idx="1153">
                  <c:v>45085</c:v>
                </c:pt>
                <c:pt idx="1154">
                  <c:v>45086</c:v>
                </c:pt>
                <c:pt idx="1155">
                  <c:v>45089</c:v>
                </c:pt>
                <c:pt idx="1156">
                  <c:v>45090</c:v>
                </c:pt>
                <c:pt idx="1157">
                  <c:v>45091</c:v>
                </c:pt>
                <c:pt idx="1158">
                  <c:v>45092</c:v>
                </c:pt>
                <c:pt idx="1159">
                  <c:v>45093</c:v>
                </c:pt>
                <c:pt idx="1160">
                  <c:v>45097</c:v>
                </c:pt>
                <c:pt idx="1161">
                  <c:v>45098</c:v>
                </c:pt>
                <c:pt idx="1162">
                  <c:v>45099</c:v>
                </c:pt>
                <c:pt idx="1163">
                  <c:v>45100</c:v>
                </c:pt>
                <c:pt idx="1164">
                  <c:v>45103</c:v>
                </c:pt>
                <c:pt idx="1165">
                  <c:v>45104</c:v>
                </c:pt>
                <c:pt idx="1166">
                  <c:v>45105</c:v>
                </c:pt>
                <c:pt idx="1167">
                  <c:v>45106</c:v>
                </c:pt>
                <c:pt idx="1168">
                  <c:v>45107</c:v>
                </c:pt>
                <c:pt idx="1169">
                  <c:v>45110</c:v>
                </c:pt>
                <c:pt idx="1170">
                  <c:v>45112</c:v>
                </c:pt>
                <c:pt idx="1171">
                  <c:v>45113</c:v>
                </c:pt>
                <c:pt idx="1172">
                  <c:v>45114</c:v>
                </c:pt>
                <c:pt idx="1173">
                  <c:v>45117</c:v>
                </c:pt>
                <c:pt idx="1174">
                  <c:v>45118</c:v>
                </c:pt>
                <c:pt idx="1175">
                  <c:v>45119</c:v>
                </c:pt>
                <c:pt idx="1176">
                  <c:v>45120</c:v>
                </c:pt>
                <c:pt idx="1177">
                  <c:v>45121</c:v>
                </c:pt>
                <c:pt idx="1178">
                  <c:v>45124</c:v>
                </c:pt>
                <c:pt idx="1179">
                  <c:v>45125</c:v>
                </c:pt>
                <c:pt idx="1180">
                  <c:v>45126</c:v>
                </c:pt>
                <c:pt idx="1181">
                  <c:v>45127</c:v>
                </c:pt>
                <c:pt idx="1182">
                  <c:v>45128</c:v>
                </c:pt>
                <c:pt idx="1183">
                  <c:v>45131</c:v>
                </c:pt>
                <c:pt idx="1184">
                  <c:v>45132</c:v>
                </c:pt>
                <c:pt idx="1185">
                  <c:v>45133</c:v>
                </c:pt>
                <c:pt idx="1186">
                  <c:v>45134</c:v>
                </c:pt>
                <c:pt idx="1187">
                  <c:v>45135</c:v>
                </c:pt>
                <c:pt idx="1188">
                  <c:v>45138</c:v>
                </c:pt>
                <c:pt idx="1189">
                  <c:v>45139</c:v>
                </c:pt>
                <c:pt idx="1190">
                  <c:v>45140</c:v>
                </c:pt>
                <c:pt idx="1191">
                  <c:v>45141</c:v>
                </c:pt>
                <c:pt idx="1192">
                  <c:v>45142</c:v>
                </c:pt>
                <c:pt idx="1193">
                  <c:v>45145</c:v>
                </c:pt>
                <c:pt idx="1194">
                  <c:v>45146</c:v>
                </c:pt>
                <c:pt idx="1195">
                  <c:v>45147</c:v>
                </c:pt>
                <c:pt idx="1196">
                  <c:v>45148</c:v>
                </c:pt>
                <c:pt idx="1197">
                  <c:v>45149</c:v>
                </c:pt>
                <c:pt idx="1198">
                  <c:v>45152</c:v>
                </c:pt>
                <c:pt idx="1199">
                  <c:v>45153</c:v>
                </c:pt>
                <c:pt idx="1200">
                  <c:v>45154</c:v>
                </c:pt>
                <c:pt idx="1201">
                  <c:v>45155</c:v>
                </c:pt>
                <c:pt idx="1202">
                  <c:v>45156</c:v>
                </c:pt>
                <c:pt idx="1203">
                  <c:v>45159</c:v>
                </c:pt>
                <c:pt idx="1204">
                  <c:v>45160</c:v>
                </c:pt>
                <c:pt idx="1205">
                  <c:v>45161</c:v>
                </c:pt>
                <c:pt idx="1206">
                  <c:v>45162</c:v>
                </c:pt>
                <c:pt idx="1207">
                  <c:v>45163</c:v>
                </c:pt>
                <c:pt idx="1208">
                  <c:v>45166</c:v>
                </c:pt>
                <c:pt idx="1209">
                  <c:v>45167</c:v>
                </c:pt>
                <c:pt idx="1210">
                  <c:v>45168</c:v>
                </c:pt>
                <c:pt idx="1211">
                  <c:v>45169</c:v>
                </c:pt>
                <c:pt idx="1212">
                  <c:v>45170</c:v>
                </c:pt>
                <c:pt idx="1213">
                  <c:v>45174</c:v>
                </c:pt>
                <c:pt idx="1214">
                  <c:v>45175</c:v>
                </c:pt>
                <c:pt idx="1215">
                  <c:v>45176</c:v>
                </c:pt>
                <c:pt idx="1216">
                  <c:v>45177</c:v>
                </c:pt>
                <c:pt idx="1217">
                  <c:v>45180</c:v>
                </c:pt>
                <c:pt idx="1218">
                  <c:v>45181</c:v>
                </c:pt>
                <c:pt idx="1219">
                  <c:v>45182</c:v>
                </c:pt>
                <c:pt idx="1220">
                  <c:v>45183</c:v>
                </c:pt>
                <c:pt idx="1221">
                  <c:v>45184</c:v>
                </c:pt>
                <c:pt idx="1222">
                  <c:v>45187</c:v>
                </c:pt>
                <c:pt idx="1223">
                  <c:v>45188</c:v>
                </c:pt>
                <c:pt idx="1224">
                  <c:v>45189</c:v>
                </c:pt>
                <c:pt idx="1225">
                  <c:v>45190</c:v>
                </c:pt>
                <c:pt idx="1226">
                  <c:v>45191</c:v>
                </c:pt>
                <c:pt idx="1227">
                  <c:v>45194</c:v>
                </c:pt>
                <c:pt idx="1228">
                  <c:v>45195</c:v>
                </c:pt>
                <c:pt idx="1229">
                  <c:v>45196</c:v>
                </c:pt>
                <c:pt idx="1230">
                  <c:v>45197</c:v>
                </c:pt>
                <c:pt idx="1231">
                  <c:v>45198</c:v>
                </c:pt>
                <c:pt idx="1232">
                  <c:v>45201</c:v>
                </c:pt>
                <c:pt idx="1233">
                  <c:v>45202</c:v>
                </c:pt>
                <c:pt idx="1234">
                  <c:v>45203</c:v>
                </c:pt>
                <c:pt idx="1235">
                  <c:v>45204</c:v>
                </c:pt>
                <c:pt idx="1236">
                  <c:v>45205</c:v>
                </c:pt>
                <c:pt idx="1237">
                  <c:v>45208</c:v>
                </c:pt>
                <c:pt idx="1238">
                  <c:v>45209</c:v>
                </c:pt>
                <c:pt idx="1239">
                  <c:v>45210</c:v>
                </c:pt>
                <c:pt idx="1240">
                  <c:v>45211</c:v>
                </c:pt>
                <c:pt idx="1241">
                  <c:v>45212</c:v>
                </c:pt>
                <c:pt idx="1242">
                  <c:v>45215</c:v>
                </c:pt>
                <c:pt idx="1243">
                  <c:v>45216</c:v>
                </c:pt>
                <c:pt idx="1244">
                  <c:v>45217</c:v>
                </c:pt>
                <c:pt idx="1245">
                  <c:v>45218</c:v>
                </c:pt>
                <c:pt idx="1246">
                  <c:v>45219</c:v>
                </c:pt>
                <c:pt idx="1247">
                  <c:v>45222</c:v>
                </c:pt>
                <c:pt idx="1248">
                  <c:v>45223</c:v>
                </c:pt>
                <c:pt idx="1249">
                  <c:v>45224</c:v>
                </c:pt>
                <c:pt idx="1250">
                  <c:v>45225</c:v>
                </c:pt>
                <c:pt idx="1251">
                  <c:v>45226</c:v>
                </c:pt>
                <c:pt idx="1252">
                  <c:v>45229</c:v>
                </c:pt>
                <c:pt idx="1253">
                  <c:v>45230</c:v>
                </c:pt>
                <c:pt idx="1254">
                  <c:v>45231</c:v>
                </c:pt>
                <c:pt idx="1255">
                  <c:v>45232</c:v>
                </c:pt>
                <c:pt idx="1256">
                  <c:v>45233</c:v>
                </c:pt>
                <c:pt idx="1257">
                  <c:v>45234</c:v>
                </c:pt>
                <c:pt idx="1258">
                  <c:v>45235</c:v>
                </c:pt>
                <c:pt idx="1259">
                  <c:v>45236</c:v>
                </c:pt>
                <c:pt idx="1260">
                  <c:v>45237</c:v>
                </c:pt>
                <c:pt idx="1261">
                  <c:v>45238</c:v>
                </c:pt>
                <c:pt idx="1262">
                  <c:v>45239</c:v>
                </c:pt>
                <c:pt idx="1263">
                  <c:v>45240</c:v>
                </c:pt>
                <c:pt idx="1264">
                  <c:v>45241</c:v>
                </c:pt>
                <c:pt idx="1265">
                  <c:v>45242</c:v>
                </c:pt>
                <c:pt idx="1266">
                  <c:v>45243</c:v>
                </c:pt>
                <c:pt idx="1267">
                  <c:v>45244</c:v>
                </c:pt>
                <c:pt idx="1268">
                  <c:v>45245</c:v>
                </c:pt>
                <c:pt idx="1269">
                  <c:v>45246</c:v>
                </c:pt>
                <c:pt idx="1270">
                  <c:v>45247</c:v>
                </c:pt>
                <c:pt idx="1271">
                  <c:v>45248</c:v>
                </c:pt>
                <c:pt idx="1272">
                  <c:v>45249</c:v>
                </c:pt>
                <c:pt idx="1273">
                  <c:v>45250</c:v>
                </c:pt>
                <c:pt idx="1274">
                  <c:v>45251</c:v>
                </c:pt>
                <c:pt idx="1275">
                  <c:v>45252</c:v>
                </c:pt>
                <c:pt idx="1276">
                  <c:v>45253</c:v>
                </c:pt>
                <c:pt idx="1277">
                  <c:v>45254</c:v>
                </c:pt>
                <c:pt idx="1278">
                  <c:v>45255</c:v>
                </c:pt>
                <c:pt idx="1279">
                  <c:v>45256</c:v>
                </c:pt>
                <c:pt idx="1280">
                  <c:v>45257</c:v>
                </c:pt>
                <c:pt idx="1281">
                  <c:v>45258</c:v>
                </c:pt>
                <c:pt idx="1282">
                  <c:v>45259</c:v>
                </c:pt>
                <c:pt idx="1283">
                  <c:v>45260</c:v>
                </c:pt>
                <c:pt idx="1284">
                  <c:v>45261</c:v>
                </c:pt>
                <c:pt idx="1285">
                  <c:v>45262</c:v>
                </c:pt>
                <c:pt idx="1286">
                  <c:v>45263</c:v>
                </c:pt>
                <c:pt idx="1287">
                  <c:v>45264</c:v>
                </c:pt>
                <c:pt idx="1288">
                  <c:v>45265</c:v>
                </c:pt>
                <c:pt idx="1289">
                  <c:v>45266</c:v>
                </c:pt>
                <c:pt idx="1290">
                  <c:v>45267</c:v>
                </c:pt>
                <c:pt idx="1291">
                  <c:v>45268</c:v>
                </c:pt>
                <c:pt idx="1292">
                  <c:v>45269</c:v>
                </c:pt>
                <c:pt idx="1293">
                  <c:v>45270</c:v>
                </c:pt>
                <c:pt idx="1294">
                  <c:v>45271</c:v>
                </c:pt>
                <c:pt idx="1295">
                  <c:v>45272</c:v>
                </c:pt>
                <c:pt idx="1296">
                  <c:v>45273</c:v>
                </c:pt>
                <c:pt idx="1297">
                  <c:v>45274</c:v>
                </c:pt>
                <c:pt idx="1298">
                  <c:v>45275</c:v>
                </c:pt>
                <c:pt idx="1299">
                  <c:v>45276</c:v>
                </c:pt>
                <c:pt idx="1300">
                  <c:v>45277</c:v>
                </c:pt>
                <c:pt idx="1301">
                  <c:v>45278</c:v>
                </c:pt>
                <c:pt idx="1302">
                  <c:v>45279</c:v>
                </c:pt>
                <c:pt idx="1303">
                  <c:v>45280</c:v>
                </c:pt>
                <c:pt idx="1304">
                  <c:v>45281</c:v>
                </c:pt>
                <c:pt idx="1305">
                  <c:v>45282</c:v>
                </c:pt>
                <c:pt idx="1306">
                  <c:v>45283</c:v>
                </c:pt>
                <c:pt idx="1307">
                  <c:v>45284</c:v>
                </c:pt>
                <c:pt idx="1308">
                  <c:v>45285</c:v>
                </c:pt>
                <c:pt idx="1309">
                  <c:v>45286</c:v>
                </c:pt>
                <c:pt idx="1310">
                  <c:v>45287</c:v>
                </c:pt>
                <c:pt idx="1311">
                  <c:v>45288</c:v>
                </c:pt>
                <c:pt idx="1312">
                  <c:v>45289</c:v>
                </c:pt>
                <c:pt idx="1313">
                  <c:v>45290</c:v>
                </c:pt>
                <c:pt idx="1314">
                  <c:v>45291</c:v>
                </c:pt>
                <c:pt idx="1315">
                  <c:v>45292</c:v>
                </c:pt>
                <c:pt idx="1316">
                  <c:v>45293</c:v>
                </c:pt>
                <c:pt idx="1317">
                  <c:v>45294</c:v>
                </c:pt>
                <c:pt idx="1318">
                  <c:v>45295</c:v>
                </c:pt>
                <c:pt idx="1319">
                  <c:v>45296</c:v>
                </c:pt>
                <c:pt idx="1320">
                  <c:v>45297</c:v>
                </c:pt>
                <c:pt idx="1321">
                  <c:v>45298</c:v>
                </c:pt>
                <c:pt idx="1322">
                  <c:v>45299</c:v>
                </c:pt>
                <c:pt idx="1323">
                  <c:v>45300</c:v>
                </c:pt>
                <c:pt idx="1324">
                  <c:v>45301</c:v>
                </c:pt>
                <c:pt idx="1325">
                  <c:v>45302</c:v>
                </c:pt>
                <c:pt idx="1326">
                  <c:v>45303</c:v>
                </c:pt>
                <c:pt idx="1327">
                  <c:v>45304</c:v>
                </c:pt>
                <c:pt idx="1328">
                  <c:v>45305</c:v>
                </c:pt>
                <c:pt idx="1329">
                  <c:v>45306</c:v>
                </c:pt>
                <c:pt idx="1330">
                  <c:v>45307</c:v>
                </c:pt>
                <c:pt idx="1331">
                  <c:v>45308</c:v>
                </c:pt>
                <c:pt idx="1332">
                  <c:v>45309</c:v>
                </c:pt>
                <c:pt idx="1333">
                  <c:v>45310</c:v>
                </c:pt>
                <c:pt idx="1334">
                  <c:v>45311</c:v>
                </c:pt>
                <c:pt idx="1335">
                  <c:v>45312</c:v>
                </c:pt>
                <c:pt idx="1336">
                  <c:v>45313</c:v>
                </c:pt>
                <c:pt idx="1337">
                  <c:v>45314</c:v>
                </c:pt>
                <c:pt idx="1338">
                  <c:v>45315</c:v>
                </c:pt>
                <c:pt idx="1339">
                  <c:v>45316</c:v>
                </c:pt>
                <c:pt idx="1340">
                  <c:v>45317</c:v>
                </c:pt>
                <c:pt idx="1341">
                  <c:v>45318</c:v>
                </c:pt>
                <c:pt idx="1342">
                  <c:v>45319</c:v>
                </c:pt>
                <c:pt idx="1343">
                  <c:v>45320</c:v>
                </c:pt>
                <c:pt idx="1344">
                  <c:v>45321</c:v>
                </c:pt>
                <c:pt idx="1345">
                  <c:v>45322</c:v>
                </c:pt>
                <c:pt idx="1346">
                  <c:v>45323</c:v>
                </c:pt>
                <c:pt idx="1347">
                  <c:v>45324</c:v>
                </c:pt>
                <c:pt idx="1348">
                  <c:v>45325</c:v>
                </c:pt>
                <c:pt idx="1349">
                  <c:v>45326</c:v>
                </c:pt>
                <c:pt idx="1350">
                  <c:v>45327</c:v>
                </c:pt>
                <c:pt idx="1351">
                  <c:v>45328</c:v>
                </c:pt>
                <c:pt idx="1352">
                  <c:v>45329</c:v>
                </c:pt>
                <c:pt idx="1353">
                  <c:v>45330</c:v>
                </c:pt>
                <c:pt idx="1354">
                  <c:v>45331</c:v>
                </c:pt>
                <c:pt idx="1355">
                  <c:v>45332</c:v>
                </c:pt>
                <c:pt idx="1356">
                  <c:v>45333</c:v>
                </c:pt>
                <c:pt idx="1357">
                  <c:v>45334</c:v>
                </c:pt>
                <c:pt idx="1358">
                  <c:v>45335</c:v>
                </c:pt>
                <c:pt idx="1359">
                  <c:v>45336</c:v>
                </c:pt>
                <c:pt idx="1360">
                  <c:v>45337</c:v>
                </c:pt>
                <c:pt idx="1361">
                  <c:v>45338</c:v>
                </c:pt>
                <c:pt idx="1362">
                  <c:v>45339</c:v>
                </c:pt>
                <c:pt idx="1363">
                  <c:v>45340</c:v>
                </c:pt>
                <c:pt idx="1364">
                  <c:v>45341</c:v>
                </c:pt>
                <c:pt idx="1365">
                  <c:v>45342</c:v>
                </c:pt>
                <c:pt idx="1366">
                  <c:v>45343</c:v>
                </c:pt>
                <c:pt idx="1367">
                  <c:v>45344</c:v>
                </c:pt>
                <c:pt idx="1368">
                  <c:v>45345</c:v>
                </c:pt>
                <c:pt idx="1369">
                  <c:v>45346</c:v>
                </c:pt>
                <c:pt idx="1370">
                  <c:v>45347</c:v>
                </c:pt>
                <c:pt idx="1371">
                  <c:v>45348</c:v>
                </c:pt>
                <c:pt idx="1372">
                  <c:v>45349</c:v>
                </c:pt>
                <c:pt idx="1373">
                  <c:v>45350</c:v>
                </c:pt>
                <c:pt idx="1374">
                  <c:v>45351</c:v>
                </c:pt>
                <c:pt idx="1375">
                  <c:v>45352</c:v>
                </c:pt>
                <c:pt idx="1376">
                  <c:v>45353</c:v>
                </c:pt>
                <c:pt idx="1377">
                  <c:v>45354</c:v>
                </c:pt>
                <c:pt idx="1378">
                  <c:v>45355</c:v>
                </c:pt>
                <c:pt idx="1379">
                  <c:v>45356</c:v>
                </c:pt>
                <c:pt idx="1380">
                  <c:v>45357</c:v>
                </c:pt>
                <c:pt idx="1381">
                  <c:v>45358</c:v>
                </c:pt>
                <c:pt idx="1382">
                  <c:v>45359</c:v>
                </c:pt>
                <c:pt idx="1383">
                  <c:v>45360</c:v>
                </c:pt>
                <c:pt idx="1384">
                  <c:v>45361</c:v>
                </c:pt>
                <c:pt idx="1385">
                  <c:v>45362</c:v>
                </c:pt>
                <c:pt idx="1386">
                  <c:v>45363</c:v>
                </c:pt>
                <c:pt idx="1387">
                  <c:v>45364</c:v>
                </c:pt>
                <c:pt idx="1388">
                  <c:v>45365</c:v>
                </c:pt>
                <c:pt idx="1389">
                  <c:v>45366</c:v>
                </c:pt>
                <c:pt idx="1390">
                  <c:v>45367</c:v>
                </c:pt>
                <c:pt idx="1391">
                  <c:v>45368</c:v>
                </c:pt>
                <c:pt idx="1392">
                  <c:v>45369</c:v>
                </c:pt>
                <c:pt idx="1393">
                  <c:v>45370</c:v>
                </c:pt>
                <c:pt idx="1394">
                  <c:v>45371</c:v>
                </c:pt>
                <c:pt idx="1395">
                  <c:v>45372</c:v>
                </c:pt>
                <c:pt idx="1396">
                  <c:v>45373</c:v>
                </c:pt>
                <c:pt idx="1397">
                  <c:v>45374</c:v>
                </c:pt>
                <c:pt idx="1398">
                  <c:v>45375</c:v>
                </c:pt>
                <c:pt idx="1399">
                  <c:v>45376</c:v>
                </c:pt>
                <c:pt idx="1400">
                  <c:v>45377</c:v>
                </c:pt>
                <c:pt idx="1401">
                  <c:v>45378</c:v>
                </c:pt>
                <c:pt idx="1402">
                  <c:v>45379</c:v>
                </c:pt>
                <c:pt idx="1403">
                  <c:v>45380</c:v>
                </c:pt>
                <c:pt idx="1404">
                  <c:v>45381</c:v>
                </c:pt>
                <c:pt idx="1405">
                  <c:v>45382</c:v>
                </c:pt>
                <c:pt idx="1406">
                  <c:v>45383</c:v>
                </c:pt>
                <c:pt idx="1407">
                  <c:v>45384</c:v>
                </c:pt>
                <c:pt idx="1408">
                  <c:v>45385</c:v>
                </c:pt>
                <c:pt idx="1409">
                  <c:v>45386</c:v>
                </c:pt>
                <c:pt idx="1410">
                  <c:v>45387</c:v>
                </c:pt>
                <c:pt idx="1411">
                  <c:v>45388</c:v>
                </c:pt>
                <c:pt idx="1412">
                  <c:v>45389</c:v>
                </c:pt>
                <c:pt idx="1413">
                  <c:v>45390</c:v>
                </c:pt>
                <c:pt idx="1414">
                  <c:v>45391</c:v>
                </c:pt>
                <c:pt idx="1415">
                  <c:v>45392</c:v>
                </c:pt>
                <c:pt idx="1416">
                  <c:v>45393</c:v>
                </c:pt>
                <c:pt idx="1417">
                  <c:v>45394</c:v>
                </c:pt>
                <c:pt idx="1418">
                  <c:v>45395</c:v>
                </c:pt>
                <c:pt idx="1419">
                  <c:v>45396</c:v>
                </c:pt>
                <c:pt idx="1420">
                  <c:v>45397</c:v>
                </c:pt>
                <c:pt idx="1421">
                  <c:v>45398</c:v>
                </c:pt>
                <c:pt idx="1422">
                  <c:v>45399</c:v>
                </c:pt>
                <c:pt idx="1423">
                  <c:v>45400</c:v>
                </c:pt>
                <c:pt idx="1424">
                  <c:v>45401</c:v>
                </c:pt>
                <c:pt idx="1425">
                  <c:v>45402</c:v>
                </c:pt>
                <c:pt idx="1426">
                  <c:v>45403</c:v>
                </c:pt>
                <c:pt idx="1427">
                  <c:v>45404</c:v>
                </c:pt>
                <c:pt idx="1428">
                  <c:v>45405</c:v>
                </c:pt>
                <c:pt idx="1429">
                  <c:v>45406</c:v>
                </c:pt>
                <c:pt idx="1430">
                  <c:v>45407</c:v>
                </c:pt>
                <c:pt idx="1431">
                  <c:v>45408</c:v>
                </c:pt>
                <c:pt idx="1432">
                  <c:v>45409</c:v>
                </c:pt>
                <c:pt idx="1433">
                  <c:v>45410</c:v>
                </c:pt>
                <c:pt idx="1434">
                  <c:v>45411</c:v>
                </c:pt>
                <c:pt idx="1435">
                  <c:v>45412</c:v>
                </c:pt>
                <c:pt idx="1436">
                  <c:v>45413</c:v>
                </c:pt>
                <c:pt idx="1437">
                  <c:v>45414</c:v>
                </c:pt>
                <c:pt idx="1438">
                  <c:v>45415</c:v>
                </c:pt>
                <c:pt idx="1439">
                  <c:v>45416</c:v>
                </c:pt>
                <c:pt idx="1440">
                  <c:v>45417</c:v>
                </c:pt>
                <c:pt idx="1441">
                  <c:v>45418</c:v>
                </c:pt>
                <c:pt idx="1442">
                  <c:v>45419</c:v>
                </c:pt>
                <c:pt idx="1443">
                  <c:v>45420</c:v>
                </c:pt>
                <c:pt idx="1444">
                  <c:v>45421</c:v>
                </c:pt>
                <c:pt idx="1445">
                  <c:v>45422</c:v>
                </c:pt>
                <c:pt idx="1446">
                  <c:v>45423</c:v>
                </c:pt>
                <c:pt idx="1447">
                  <c:v>45424</c:v>
                </c:pt>
                <c:pt idx="1448">
                  <c:v>45425</c:v>
                </c:pt>
                <c:pt idx="1449">
                  <c:v>45426</c:v>
                </c:pt>
                <c:pt idx="1450">
                  <c:v>45427</c:v>
                </c:pt>
                <c:pt idx="1451">
                  <c:v>45428</c:v>
                </c:pt>
                <c:pt idx="1452">
                  <c:v>45429</c:v>
                </c:pt>
                <c:pt idx="1453">
                  <c:v>45430</c:v>
                </c:pt>
                <c:pt idx="1454">
                  <c:v>45431</c:v>
                </c:pt>
                <c:pt idx="1455">
                  <c:v>45432</c:v>
                </c:pt>
                <c:pt idx="1456">
                  <c:v>45433</c:v>
                </c:pt>
                <c:pt idx="1457">
                  <c:v>45434</c:v>
                </c:pt>
                <c:pt idx="1458">
                  <c:v>45435</c:v>
                </c:pt>
                <c:pt idx="1459">
                  <c:v>45436</c:v>
                </c:pt>
                <c:pt idx="1460">
                  <c:v>45437</c:v>
                </c:pt>
                <c:pt idx="1461">
                  <c:v>45438</c:v>
                </c:pt>
                <c:pt idx="1462">
                  <c:v>45439</c:v>
                </c:pt>
                <c:pt idx="1463">
                  <c:v>45440</c:v>
                </c:pt>
                <c:pt idx="1464">
                  <c:v>45441</c:v>
                </c:pt>
                <c:pt idx="1465">
                  <c:v>45442</c:v>
                </c:pt>
                <c:pt idx="1466">
                  <c:v>45443</c:v>
                </c:pt>
                <c:pt idx="1467">
                  <c:v>45444</c:v>
                </c:pt>
                <c:pt idx="1468">
                  <c:v>45445</c:v>
                </c:pt>
                <c:pt idx="1469">
                  <c:v>45446</c:v>
                </c:pt>
                <c:pt idx="1470">
                  <c:v>45447</c:v>
                </c:pt>
                <c:pt idx="1471">
                  <c:v>45448</c:v>
                </c:pt>
                <c:pt idx="1472">
                  <c:v>45449</c:v>
                </c:pt>
                <c:pt idx="1473">
                  <c:v>45450</c:v>
                </c:pt>
                <c:pt idx="1474">
                  <c:v>45451</c:v>
                </c:pt>
                <c:pt idx="1475">
                  <c:v>45452</c:v>
                </c:pt>
                <c:pt idx="1476">
                  <c:v>45453</c:v>
                </c:pt>
                <c:pt idx="1477">
                  <c:v>45454</c:v>
                </c:pt>
                <c:pt idx="1478">
                  <c:v>45455</c:v>
                </c:pt>
                <c:pt idx="1479">
                  <c:v>45456</c:v>
                </c:pt>
                <c:pt idx="1480">
                  <c:v>45457</c:v>
                </c:pt>
                <c:pt idx="1481">
                  <c:v>45458</c:v>
                </c:pt>
                <c:pt idx="1482">
                  <c:v>45459</c:v>
                </c:pt>
                <c:pt idx="1483">
                  <c:v>45460</c:v>
                </c:pt>
                <c:pt idx="1484">
                  <c:v>45461</c:v>
                </c:pt>
                <c:pt idx="1485">
                  <c:v>45462</c:v>
                </c:pt>
                <c:pt idx="1486">
                  <c:v>45463</c:v>
                </c:pt>
                <c:pt idx="1487">
                  <c:v>45464</c:v>
                </c:pt>
                <c:pt idx="1488">
                  <c:v>45465</c:v>
                </c:pt>
                <c:pt idx="1489">
                  <c:v>45466</c:v>
                </c:pt>
                <c:pt idx="1490">
                  <c:v>45467</c:v>
                </c:pt>
                <c:pt idx="1491">
                  <c:v>45468</c:v>
                </c:pt>
                <c:pt idx="1492">
                  <c:v>45469</c:v>
                </c:pt>
                <c:pt idx="1493">
                  <c:v>45470</c:v>
                </c:pt>
                <c:pt idx="1494">
                  <c:v>45471</c:v>
                </c:pt>
                <c:pt idx="1495">
                  <c:v>45472</c:v>
                </c:pt>
                <c:pt idx="1496">
                  <c:v>45473</c:v>
                </c:pt>
                <c:pt idx="1497">
                  <c:v>45474</c:v>
                </c:pt>
                <c:pt idx="1498">
                  <c:v>45475</c:v>
                </c:pt>
                <c:pt idx="1499">
                  <c:v>45476</c:v>
                </c:pt>
                <c:pt idx="1500">
                  <c:v>45477</c:v>
                </c:pt>
                <c:pt idx="1501">
                  <c:v>45478</c:v>
                </c:pt>
                <c:pt idx="1502">
                  <c:v>45479</c:v>
                </c:pt>
                <c:pt idx="1503">
                  <c:v>45480</c:v>
                </c:pt>
                <c:pt idx="1504">
                  <c:v>45481</c:v>
                </c:pt>
                <c:pt idx="1505">
                  <c:v>45482</c:v>
                </c:pt>
                <c:pt idx="1506">
                  <c:v>45483</c:v>
                </c:pt>
                <c:pt idx="1507">
                  <c:v>45484</c:v>
                </c:pt>
                <c:pt idx="1508">
                  <c:v>45485</c:v>
                </c:pt>
                <c:pt idx="1509">
                  <c:v>45486</c:v>
                </c:pt>
                <c:pt idx="1510">
                  <c:v>45487</c:v>
                </c:pt>
                <c:pt idx="1511">
                  <c:v>45488</c:v>
                </c:pt>
                <c:pt idx="1512">
                  <c:v>45489</c:v>
                </c:pt>
                <c:pt idx="1513">
                  <c:v>45490</c:v>
                </c:pt>
                <c:pt idx="1514">
                  <c:v>45491</c:v>
                </c:pt>
                <c:pt idx="1515">
                  <c:v>45492</c:v>
                </c:pt>
                <c:pt idx="1516">
                  <c:v>45493</c:v>
                </c:pt>
                <c:pt idx="1517">
                  <c:v>45494</c:v>
                </c:pt>
                <c:pt idx="1518">
                  <c:v>45495</c:v>
                </c:pt>
                <c:pt idx="1519">
                  <c:v>45496</c:v>
                </c:pt>
                <c:pt idx="1520">
                  <c:v>45497</c:v>
                </c:pt>
                <c:pt idx="1521">
                  <c:v>45498</c:v>
                </c:pt>
                <c:pt idx="1522">
                  <c:v>45499</c:v>
                </c:pt>
                <c:pt idx="1523">
                  <c:v>45500</c:v>
                </c:pt>
                <c:pt idx="1524">
                  <c:v>45501</c:v>
                </c:pt>
                <c:pt idx="1525">
                  <c:v>45502</c:v>
                </c:pt>
                <c:pt idx="1526">
                  <c:v>45503</c:v>
                </c:pt>
                <c:pt idx="1527">
                  <c:v>45504</c:v>
                </c:pt>
                <c:pt idx="1528">
                  <c:v>45505</c:v>
                </c:pt>
                <c:pt idx="1529">
                  <c:v>45506</c:v>
                </c:pt>
                <c:pt idx="1530">
                  <c:v>45507</c:v>
                </c:pt>
                <c:pt idx="1531">
                  <c:v>45508</c:v>
                </c:pt>
                <c:pt idx="1532">
                  <c:v>45509</c:v>
                </c:pt>
                <c:pt idx="1533">
                  <c:v>45510</c:v>
                </c:pt>
                <c:pt idx="1534">
                  <c:v>45511</c:v>
                </c:pt>
                <c:pt idx="1535">
                  <c:v>45512</c:v>
                </c:pt>
                <c:pt idx="1536">
                  <c:v>45513</c:v>
                </c:pt>
                <c:pt idx="1537">
                  <c:v>45514</c:v>
                </c:pt>
                <c:pt idx="1538">
                  <c:v>45515</c:v>
                </c:pt>
                <c:pt idx="1539">
                  <c:v>45516</c:v>
                </c:pt>
                <c:pt idx="1540">
                  <c:v>45517</c:v>
                </c:pt>
                <c:pt idx="1541">
                  <c:v>45518</c:v>
                </c:pt>
                <c:pt idx="1542">
                  <c:v>45519</c:v>
                </c:pt>
                <c:pt idx="1543">
                  <c:v>45520</c:v>
                </c:pt>
                <c:pt idx="1544">
                  <c:v>45521</c:v>
                </c:pt>
                <c:pt idx="1545">
                  <c:v>45522</c:v>
                </c:pt>
                <c:pt idx="1546">
                  <c:v>45523</c:v>
                </c:pt>
                <c:pt idx="1547">
                  <c:v>45524</c:v>
                </c:pt>
                <c:pt idx="1548">
                  <c:v>45525</c:v>
                </c:pt>
                <c:pt idx="1549">
                  <c:v>45526</c:v>
                </c:pt>
                <c:pt idx="1550">
                  <c:v>45527</c:v>
                </c:pt>
                <c:pt idx="1551">
                  <c:v>45528</c:v>
                </c:pt>
                <c:pt idx="1552">
                  <c:v>45529</c:v>
                </c:pt>
                <c:pt idx="1553">
                  <c:v>45530</c:v>
                </c:pt>
                <c:pt idx="1554">
                  <c:v>45531</c:v>
                </c:pt>
                <c:pt idx="1555">
                  <c:v>45532</c:v>
                </c:pt>
                <c:pt idx="1556">
                  <c:v>45533</c:v>
                </c:pt>
                <c:pt idx="1557">
                  <c:v>45534</c:v>
                </c:pt>
                <c:pt idx="1558">
                  <c:v>45535</c:v>
                </c:pt>
                <c:pt idx="1559">
                  <c:v>45536</c:v>
                </c:pt>
                <c:pt idx="1560">
                  <c:v>45537</c:v>
                </c:pt>
                <c:pt idx="1561">
                  <c:v>45538</c:v>
                </c:pt>
                <c:pt idx="1562">
                  <c:v>45539</c:v>
                </c:pt>
                <c:pt idx="1563">
                  <c:v>45540</c:v>
                </c:pt>
                <c:pt idx="1564">
                  <c:v>45541</c:v>
                </c:pt>
                <c:pt idx="1565">
                  <c:v>45542</c:v>
                </c:pt>
                <c:pt idx="1566">
                  <c:v>45543</c:v>
                </c:pt>
                <c:pt idx="1567">
                  <c:v>45544</c:v>
                </c:pt>
                <c:pt idx="1568">
                  <c:v>45545</c:v>
                </c:pt>
                <c:pt idx="1569">
                  <c:v>45546</c:v>
                </c:pt>
                <c:pt idx="1570">
                  <c:v>45547</c:v>
                </c:pt>
                <c:pt idx="1571">
                  <c:v>45548</c:v>
                </c:pt>
                <c:pt idx="1572">
                  <c:v>45549</c:v>
                </c:pt>
                <c:pt idx="1573">
                  <c:v>45550</c:v>
                </c:pt>
                <c:pt idx="1574">
                  <c:v>45551</c:v>
                </c:pt>
                <c:pt idx="1575">
                  <c:v>45552</c:v>
                </c:pt>
                <c:pt idx="1576">
                  <c:v>45553</c:v>
                </c:pt>
                <c:pt idx="1577">
                  <c:v>45554</c:v>
                </c:pt>
                <c:pt idx="1578">
                  <c:v>45555</c:v>
                </c:pt>
                <c:pt idx="1579">
                  <c:v>45556</c:v>
                </c:pt>
                <c:pt idx="1580">
                  <c:v>45557</c:v>
                </c:pt>
                <c:pt idx="1581">
                  <c:v>45558</c:v>
                </c:pt>
                <c:pt idx="1582">
                  <c:v>45559</c:v>
                </c:pt>
                <c:pt idx="1583">
                  <c:v>45560</c:v>
                </c:pt>
                <c:pt idx="1584">
                  <c:v>45561</c:v>
                </c:pt>
                <c:pt idx="1585">
                  <c:v>45562</c:v>
                </c:pt>
                <c:pt idx="1586">
                  <c:v>45563</c:v>
                </c:pt>
                <c:pt idx="1587">
                  <c:v>45564</c:v>
                </c:pt>
                <c:pt idx="1588">
                  <c:v>45565</c:v>
                </c:pt>
                <c:pt idx="1589">
                  <c:v>45566</c:v>
                </c:pt>
                <c:pt idx="1590">
                  <c:v>45567</c:v>
                </c:pt>
                <c:pt idx="1591">
                  <c:v>45568</c:v>
                </c:pt>
                <c:pt idx="1592">
                  <c:v>45569</c:v>
                </c:pt>
                <c:pt idx="1593">
                  <c:v>45570</c:v>
                </c:pt>
                <c:pt idx="1594">
                  <c:v>45571</c:v>
                </c:pt>
                <c:pt idx="1595">
                  <c:v>45572</c:v>
                </c:pt>
                <c:pt idx="1596">
                  <c:v>45573</c:v>
                </c:pt>
                <c:pt idx="1597">
                  <c:v>45574</c:v>
                </c:pt>
                <c:pt idx="1598">
                  <c:v>45575</c:v>
                </c:pt>
                <c:pt idx="1599">
                  <c:v>45576</c:v>
                </c:pt>
                <c:pt idx="1600">
                  <c:v>45577</c:v>
                </c:pt>
                <c:pt idx="1601">
                  <c:v>45578</c:v>
                </c:pt>
                <c:pt idx="1602">
                  <c:v>45579</c:v>
                </c:pt>
                <c:pt idx="1603">
                  <c:v>45580</c:v>
                </c:pt>
                <c:pt idx="1604">
                  <c:v>45581</c:v>
                </c:pt>
                <c:pt idx="1605">
                  <c:v>45582</c:v>
                </c:pt>
                <c:pt idx="1606">
                  <c:v>45583</c:v>
                </c:pt>
                <c:pt idx="1607">
                  <c:v>45584</c:v>
                </c:pt>
                <c:pt idx="1608">
                  <c:v>45585</c:v>
                </c:pt>
                <c:pt idx="1609">
                  <c:v>45586</c:v>
                </c:pt>
                <c:pt idx="1610">
                  <c:v>45587</c:v>
                </c:pt>
                <c:pt idx="1611">
                  <c:v>45588</c:v>
                </c:pt>
                <c:pt idx="1612">
                  <c:v>45589</c:v>
                </c:pt>
                <c:pt idx="1613">
                  <c:v>45590</c:v>
                </c:pt>
                <c:pt idx="1614">
                  <c:v>45591</c:v>
                </c:pt>
                <c:pt idx="1615">
                  <c:v>45592</c:v>
                </c:pt>
                <c:pt idx="1616">
                  <c:v>45593</c:v>
                </c:pt>
                <c:pt idx="1617">
                  <c:v>45594</c:v>
                </c:pt>
                <c:pt idx="1618">
                  <c:v>45595</c:v>
                </c:pt>
                <c:pt idx="1619">
                  <c:v>45596</c:v>
                </c:pt>
                <c:pt idx="1620">
                  <c:v>45597</c:v>
                </c:pt>
                <c:pt idx="1621">
                  <c:v>45598</c:v>
                </c:pt>
                <c:pt idx="1622">
                  <c:v>45599</c:v>
                </c:pt>
                <c:pt idx="1623">
                  <c:v>45600</c:v>
                </c:pt>
                <c:pt idx="1624">
                  <c:v>45601</c:v>
                </c:pt>
                <c:pt idx="1625">
                  <c:v>45602</c:v>
                </c:pt>
                <c:pt idx="1626">
                  <c:v>45603</c:v>
                </c:pt>
                <c:pt idx="1627">
                  <c:v>45604</c:v>
                </c:pt>
                <c:pt idx="1628">
                  <c:v>45605</c:v>
                </c:pt>
                <c:pt idx="1629">
                  <c:v>45606</c:v>
                </c:pt>
                <c:pt idx="1630">
                  <c:v>45607</c:v>
                </c:pt>
                <c:pt idx="1631">
                  <c:v>45608</c:v>
                </c:pt>
                <c:pt idx="1632">
                  <c:v>45609</c:v>
                </c:pt>
                <c:pt idx="1633">
                  <c:v>45610</c:v>
                </c:pt>
                <c:pt idx="1634">
                  <c:v>45611</c:v>
                </c:pt>
                <c:pt idx="1635">
                  <c:v>45612</c:v>
                </c:pt>
                <c:pt idx="1636">
                  <c:v>45613</c:v>
                </c:pt>
                <c:pt idx="1637">
                  <c:v>45614</c:v>
                </c:pt>
                <c:pt idx="1638">
                  <c:v>45615</c:v>
                </c:pt>
                <c:pt idx="1639">
                  <c:v>45616</c:v>
                </c:pt>
                <c:pt idx="1640">
                  <c:v>45617</c:v>
                </c:pt>
                <c:pt idx="1641">
                  <c:v>45618</c:v>
                </c:pt>
                <c:pt idx="1642">
                  <c:v>45619</c:v>
                </c:pt>
                <c:pt idx="1643">
                  <c:v>45620</c:v>
                </c:pt>
                <c:pt idx="1644">
                  <c:v>45621</c:v>
                </c:pt>
                <c:pt idx="1645">
                  <c:v>45622</c:v>
                </c:pt>
                <c:pt idx="1646">
                  <c:v>45623</c:v>
                </c:pt>
                <c:pt idx="1647">
                  <c:v>45624</c:v>
                </c:pt>
                <c:pt idx="1648">
                  <c:v>45625</c:v>
                </c:pt>
                <c:pt idx="1649">
                  <c:v>45626</c:v>
                </c:pt>
                <c:pt idx="1650">
                  <c:v>45627</c:v>
                </c:pt>
                <c:pt idx="1651">
                  <c:v>45628</c:v>
                </c:pt>
                <c:pt idx="1652">
                  <c:v>45629</c:v>
                </c:pt>
                <c:pt idx="1653">
                  <c:v>45630</c:v>
                </c:pt>
                <c:pt idx="1654">
                  <c:v>45631</c:v>
                </c:pt>
                <c:pt idx="1655">
                  <c:v>45632</c:v>
                </c:pt>
                <c:pt idx="1656">
                  <c:v>45633</c:v>
                </c:pt>
                <c:pt idx="1657">
                  <c:v>45634</c:v>
                </c:pt>
                <c:pt idx="1658">
                  <c:v>45635</c:v>
                </c:pt>
                <c:pt idx="1659">
                  <c:v>45636</c:v>
                </c:pt>
                <c:pt idx="1660">
                  <c:v>45637</c:v>
                </c:pt>
                <c:pt idx="1661">
                  <c:v>45638</c:v>
                </c:pt>
                <c:pt idx="1662">
                  <c:v>45639</c:v>
                </c:pt>
                <c:pt idx="1663">
                  <c:v>45640</c:v>
                </c:pt>
                <c:pt idx="1664">
                  <c:v>45641</c:v>
                </c:pt>
                <c:pt idx="1665">
                  <c:v>45642</c:v>
                </c:pt>
                <c:pt idx="1666">
                  <c:v>45643</c:v>
                </c:pt>
                <c:pt idx="1667">
                  <c:v>45644</c:v>
                </c:pt>
                <c:pt idx="1668">
                  <c:v>45645</c:v>
                </c:pt>
                <c:pt idx="1669">
                  <c:v>45646</c:v>
                </c:pt>
                <c:pt idx="1670">
                  <c:v>45647</c:v>
                </c:pt>
                <c:pt idx="1671">
                  <c:v>45648</c:v>
                </c:pt>
                <c:pt idx="1672">
                  <c:v>45649</c:v>
                </c:pt>
                <c:pt idx="1673">
                  <c:v>45650</c:v>
                </c:pt>
                <c:pt idx="1674">
                  <c:v>45651</c:v>
                </c:pt>
                <c:pt idx="1675">
                  <c:v>45652</c:v>
                </c:pt>
                <c:pt idx="1676">
                  <c:v>45653</c:v>
                </c:pt>
                <c:pt idx="1677">
                  <c:v>45654</c:v>
                </c:pt>
                <c:pt idx="1678">
                  <c:v>45655</c:v>
                </c:pt>
                <c:pt idx="1679">
                  <c:v>45656</c:v>
                </c:pt>
                <c:pt idx="1680">
                  <c:v>45657</c:v>
                </c:pt>
                <c:pt idx="1681">
                  <c:v>45658</c:v>
                </c:pt>
                <c:pt idx="1682">
                  <c:v>45659</c:v>
                </c:pt>
                <c:pt idx="1683">
                  <c:v>45660</c:v>
                </c:pt>
                <c:pt idx="1684">
                  <c:v>45661</c:v>
                </c:pt>
                <c:pt idx="1685">
                  <c:v>45662</c:v>
                </c:pt>
              </c:numCache>
            </c:numRef>
          </c:cat>
          <c:val>
            <c:numRef>
              <c:f>Beta!$F$4:$F$1689</c:f>
              <c:numCache>
                <c:formatCode>_("$"* #,##0.00_);_("$"* \(#,##0.00\);_("$"* "-"??_);_(@_)</c:formatCode>
                <c:ptCount val="1686"/>
                <c:pt idx="0">
                  <c:v>26.209999</c:v>
                </c:pt>
                <c:pt idx="1">
                  <c:v>26.620000999999998</c:v>
                </c:pt>
                <c:pt idx="2">
                  <c:v>27.16</c:v>
                </c:pt>
                <c:pt idx="3">
                  <c:v>27.01</c:v>
                </c:pt>
                <c:pt idx="4">
                  <c:v>27.450001</c:v>
                </c:pt>
                <c:pt idx="5">
                  <c:v>27.74</c:v>
                </c:pt>
                <c:pt idx="6">
                  <c:v>28.559999000000001</c:v>
                </c:pt>
                <c:pt idx="7">
                  <c:v>27.5</c:v>
                </c:pt>
                <c:pt idx="8">
                  <c:v>27.67</c:v>
                </c:pt>
                <c:pt idx="9">
                  <c:v>27.610001</c:v>
                </c:pt>
                <c:pt idx="10">
                  <c:v>27.93</c:v>
                </c:pt>
                <c:pt idx="11">
                  <c:v>26.82</c:v>
                </c:pt>
                <c:pt idx="12">
                  <c:v>27.42</c:v>
                </c:pt>
                <c:pt idx="13">
                  <c:v>26.440000999999999</c:v>
                </c:pt>
                <c:pt idx="14">
                  <c:v>26.700001</c:v>
                </c:pt>
                <c:pt idx="15">
                  <c:v>26.629999000000002</c:v>
                </c:pt>
                <c:pt idx="16">
                  <c:v>27.030000999999999</c:v>
                </c:pt>
                <c:pt idx="17">
                  <c:v>23.02</c:v>
                </c:pt>
                <c:pt idx="18">
                  <c:v>25.120000999999998</c:v>
                </c:pt>
                <c:pt idx="19">
                  <c:v>24.15</c:v>
                </c:pt>
                <c:pt idx="20">
                  <c:v>25.09</c:v>
                </c:pt>
                <c:pt idx="21">
                  <c:v>24.450001</c:v>
                </c:pt>
                <c:pt idx="22">
                  <c:v>23.99</c:v>
                </c:pt>
                <c:pt idx="23">
                  <c:v>24.190000999999999</c:v>
                </c:pt>
                <c:pt idx="24">
                  <c:v>23.889999</c:v>
                </c:pt>
                <c:pt idx="25">
                  <c:v>24.08</c:v>
                </c:pt>
                <c:pt idx="26">
                  <c:v>23.959999</c:v>
                </c:pt>
                <c:pt idx="27">
                  <c:v>23.5</c:v>
                </c:pt>
                <c:pt idx="28">
                  <c:v>23.52</c:v>
                </c:pt>
                <c:pt idx="29">
                  <c:v>23.26</c:v>
                </c:pt>
                <c:pt idx="30">
                  <c:v>22.879999000000002</c:v>
                </c:pt>
                <c:pt idx="31">
                  <c:v>23.07</c:v>
                </c:pt>
                <c:pt idx="32">
                  <c:v>22.65</c:v>
                </c:pt>
                <c:pt idx="33">
                  <c:v>23.209999</c:v>
                </c:pt>
                <c:pt idx="34">
                  <c:v>22.99</c:v>
                </c:pt>
                <c:pt idx="35">
                  <c:v>23.190000999999999</c:v>
                </c:pt>
                <c:pt idx="36">
                  <c:v>23.51</c:v>
                </c:pt>
                <c:pt idx="37">
                  <c:v>23.49</c:v>
                </c:pt>
                <c:pt idx="38">
                  <c:v>23.76</c:v>
                </c:pt>
                <c:pt idx="39">
                  <c:v>23.84</c:v>
                </c:pt>
                <c:pt idx="40">
                  <c:v>24.049999</c:v>
                </c:pt>
                <c:pt idx="41">
                  <c:v>24.43</c:v>
                </c:pt>
                <c:pt idx="42">
                  <c:v>24.299999</c:v>
                </c:pt>
                <c:pt idx="43">
                  <c:v>24.139999</c:v>
                </c:pt>
                <c:pt idx="44">
                  <c:v>24.040001</c:v>
                </c:pt>
                <c:pt idx="45">
                  <c:v>23.93</c:v>
                </c:pt>
                <c:pt idx="46">
                  <c:v>24.35</c:v>
                </c:pt>
                <c:pt idx="47">
                  <c:v>24.84</c:v>
                </c:pt>
                <c:pt idx="48">
                  <c:v>24.84</c:v>
                </c:pt>
                <c:pt idx="49">
                  <c:v>24.950001</c:v>
                </c:pt>
                <c:pt idx="50">
                  <c:v>24.68</c:v>
                </c:pt>
                <c:pt idx="51">
                  <c:v>24.629999000000002</c:v>
                </c:pt>
                <c:pt idx="52">
                  <c:v>24.370000999999998</c:v>
                </c:pt>
                <c:pt idx="53">
                  <c:v>24.15</c:v>
                </c:pt>
                <c:pt idx="54">
                  <c:v>23.77</c:v>
                </c:pt>
                <c:pt idx="55">
                  <c:v>24.190000999999999</c:v>
                </c:pt>
                <c:pt idx="56">
                  <c:v>23.99</c:v>
                </c:pt>
                <c:pt idx="57">
                  <c:v>23.98</c:v>
                </c:pt>
                <c:pt idx="58">
                  <c:v>23.469999000000001</c:v>
                </c:pt>
                <c:pt idx="59">
                  <c:v>23.700001</c:v>
                </c:pt>
                <c:pt idx="60">
                  <c:v>24.1</c:v>
                </c:pt>
                <c:pt idx="61">
                  <c:v>23.92</c:v>
                </c:pt>
                <c:pt idx="62">
                  <c:v>23.75</c:v>
                </c:pt>
                <c:pt idx="63">
                  <c:v>23.52</c:v>
                </c:pt>
                <c:pt idx="64">
                  <c:v>23.700001</c:v>
                </c:pt>
                <c:pt idx="65">
                  <c:v>23.82</c:v>
                </c:pt>
                <c:pt idx="66">
                  <c:v>23.98</c:v>
                </c:pt>
                <c:pt idx="67">
                  <c:v>23.940000999999999</c:v>
                </c:pt>
                <c:pt idx="68">
                  <c:v>24.549999</c:v>
                </c:pt>
                <c:pt idx="69">
                  <c:v>24.9</c:v>
                </c:pt>
                <c:pt idx="70">
                  <c:v>24.139999</c:v>
                </c:pt>
                <c:pt idx="71">
                  <c:v>23.290001</c:v>
                </c:pt>
                <c:pt idx="72">
                  <c:v>23.48</c:v>
                </c:pt>
                <c:pt idx="73">
                  <c:v>23.690000999999999</c:v>
                </c:pt>
                <c:pt idx="74">
                  <c:v>23.32</c:v>
                </c:pt>
                <c:pt idx="75">
                  <c:v>23.290001</c:v>
                </c:pt>
                <c:pt idx="76">
                  <c:v>23.32</c:v>
                </c:pt>
                <c:pt idx="77">
                  <c:v>23.200001</c:v>
                </c:pt>
                <c:pt idx="78">
                  <c:v>23.120000999999998</c:v>
                </c:pt>
                <c:pt idx="79">
                  <c:v>23.120000999999998</c:v>
                </c:pt>
                <c:pt idx="80">
                  <c:v>23.030000999999999</c:v>
                </c:pt>
                <c:pt idx="81">
                  <c:v>22.85</c:v>
                </c:pt>
                <c:pt idx="82">
                  <c:v>22.110001</c:v>
                </c:pt>
                <c:pt idx="83">
                  <c:v>22.219999000000001</c:v>
                </c:pt>
                <c:pt idx="84">
                  <c:v>21.950001</c:v>
                </c:pt>
                <c:pt idx="85">
                  <c:v>22.280000999999999</c:v>
                </c:pt>
                <c:pt idx="86">
                  <c:v>22.309999000000001</c:v>
                </c:pt>
                <c:pt idx="87">
                  <c:v>22.389999</c:v>
                </c:pt>
                <c:pt idx="88">
                  <c:v>22.530000999999999</c:v>
                </c:pt>
                <c:pt idx="89">
                  <c:v>22.139999</c:v>
                </c:pt>
                <c:pt idx="90">
                  <c:v>22.059999000000001</c:v>
                </c:pt>
                <c:pt idx="91">
                  <c:v>22.51</c:v>
                </c:pt>
                <c:pt idx="92">
                  <c:v>22.610001</c:v>
                </c:pt>
                <c:pt idx="93">
                  <c:v>22.620000999999998</c:v>
                </c:pt>
                <c:pt idx="94">
                  <c:v>22.559999000000001</c:v>
                </c:pt>
                <c:pt idx="95">
                  <c:v>21.74</c:v>
                </c:pt>
                <c:pt idx="96">
                  <c:v>21.709999</c:v>
                </c:pt>
                <c:pt idx="97">
                  <c:v>21.540001</c:v>
                </c:pt>
                <c:pt idx="98">
                  <c:v>21.67</c:v>
                </c:pt>
                <c:pt idx="99">
                  <c:v>21.09</c:v>
                </c:pt>
                <c:pt idx="100">
                  <c:v>20.92</c:v>
                </c:pt>
                <c:pt idx="101">
                  <c:v>21.280000999999999</c:v>
                </c:pt>
                <c:pt idx="102">
                  <c:v>21.48</c:v>
                </c:pt>
                <c:pt idx="103">
                  <c:v>21.379999000000002</c:v>
                </c:pt>
                <c:pt idx="104">
                  <c:v>21.25</c:v>
                </c:pt>
                <c:pt idx="105">
                  <c:v>21.549999</c:v>
                </c:pt>
                <c:pt idx="106">
                  <c:v>21.59</c:v>
                </c:pt>
                <c:pt idx="107">
                  <c:v>21.33</c:v>
                </c:pt>
                <c:pt idx="108">
                  <c:v>21.360001</c:v>
                </c:pt>
                <c:pt idx="109">
                  <c:v>21.200001</c:v>
                </c:pt>
                <c:pt idx="110">
                  <c:v>21.559999000000001</c:v>
                </c:pt>
                <c:pt idx="111">
                  <c:v>21.57</c:v>
                </c:pt>
                <c:pt idx="112">
                  <c:v>21.02</c:v>
                </c:pt>
                <c:pt idx="113">
                  <c:v>20.780000999999999</c:v>
                </c:pt>
                <c:pt idx="114">
                  <c:v>21.33</c:v>
                </c:pt>
                <c:pt idx="115">
                  <c:v>21.16</c:v>
                </c:pt>
                <c:pt idx="116">
                  <c:v>21.02</c:v>
                </c:pt>
                <c:pt idx="117">
                  <c:v>21.57</c:v>
                </c:pt>
                <c:pt idx="118">
                  <c:v>21.42</c:v>
                </c:pt>
                <c:pt idx="119">
                  <c:v>21.290001</c:v>
                </c:pt>
                <c:pt idx="120">
                  <c:v>22.440000999999999</c:v>
                </c:pt>
                <c:pt idx="121">
                  <c:v>22.129999000000002</c:v>
                </c:pt>
                <c:pt idx="122">
                  <c:v>22.51</c:v>
                </c:pt>
                <c:pt idx="123">
                  <c:v>22.280000999999999</c:v>
                </c:pt>
                <c:pt idx="124">
                  <c:v>22.17</c:v>
                </c:pt>
                <c:pt idx="125">
                  <c:v>22.48</c:v>
                </c:pt>
                <c:pt idx="126">
                  <c:v>22.469999000000001</c:v>
                </c:pt>
                <c:pt idx="127">
                  <c:v>21.700001</c:v>
                </c:pt>
                <c:pt idx="128">
                  <c:v>21.49</c:v>
                </c:pt>
                <c:pt idx="129">
                  <c:v>21.41</c:v>
                </c:pt>
                <c:pt idx="130">
                  <c:v>21.1</c:v>
                </c:pt>
                <c:pt idx="131">
                  <c:v>20.98</c:v>
                </c:pt>
                <c:pt idx="132">
                  <c:v>20.74</c:v>
                </c:pt>
                <c:pt idx="133">
                  <c:v>20.860001</c:v>
                </c:pt>
                <c:pt idx="134">
                  <c:v>20.540001</c:v>
                </c:pt>
                <c:pt idx="135">
                  <c:v>20.450001</c:v>
                </c:pt>
                <c:pt idx="136">
                  <c:v>20.549999</c:v>
                </c:pt>
                <c:pt idx="137">
                  <c:v>20.559999000000001</c:v>
                </c:pt>
                <c:pt idx="138">
                  <c:v>20.290001</c:v>
                </c:pt>
                <c:pt idx="139">
                  <c:v>20.040001</c:v>
                </c:pt>
                <c:pt idx="140">
                  <c:v>20.049999</c:v>
                </c:pt>
                <c:pt idx="141">
                  <c:v>20.129999000000002</c:v>
                </c:pt>
                <c:pt idx="142">
                  <c:v>20.18</c:v>
                </c:pt>
                <c:pt idx="143">
                  <c:v>20.219999000000001</c:v>
                </c:pt>
                <c:pt idx="144">
                  <c:v>20.25</c:v>
                </c:pt>
                <c:pt idx="145">
                  <c:v>20.440000999999999</c:v>
                </c:pt>
                <c:pt idx="146">
                  <c:v>20.790001</c:v>
                </c:pt>
                <c:pt idx="147">
                  <c:v>20.809999000000001</c:v>
                </c:pt>
                <c:pt idx="148">
                  <c:v>20.74</c:v>
                </c:pt>
                <c:pt idx="149">
                  <c:v>20.809999000000001</c:v>
                </c:pt>
                <c:pt idx="150">
                  <c:v>20.99</c:v>
                </c:pt>
                <c:pt idx="151">
                  <c:v>20.34</c:v>
                </c:pt>
                <c:pt idx="152">
                  <c:v>20.120000999999998</c:v>
                </c:pt>
                <c:pt idx="153">
                  <c:v>19.399999999999999</c:v>
                </c:pt>
                <c:pt idx="154">
                  <c:v>19.530000999999999</c:v>
                </c:pt>
                <c:pt idx="155">
                  <c:v>18.879999000000002</c:v>
                </c:pt>
                <c:pt idx="156">
                  <c:v>18.639999</c:v>
                </c:pt>
                <c:pt idx="157">
                  <c:v>18.469999000000001</c:v>
                </c:pt>
                <c:pt idx="158">
                  <c:v>18.440000999999999</c:v>
                </c:pt>
                <c:pt idx="159">
                  <c:v>18.530000999999999</c:v>
                </c:pt>
                <c:pt idx="160">
                  <c:v>18.889999</c:v>
                </c:pt>
                <c:pt idx="161">
                  <c:v>18.459999</c:v>
                </c:pt>
                <c:pt idx="162">
                  <c:v>18.540001</c:v>
                </c:pt>
                <c:pt idx="163">
                  <c:v>18.489999999999998</c:v>
                </c:pt>
                <c:pt idx="164">
                  <c:v>18.850000000000001</c:v>
                </c:pt>
                <c:pt idx="165">
                  <c:v>18.829999999999998</c:v>
                </c:pt>
                <c:pt idx="166">
                  <c:v>18.75</c:v>
                </c:pt>
                <c:pt idx="167">
                  <c:v>18.790001</c:v>
                </c:pt>
                <c:pt idx="168">
                  <c:v>18.73</c:v>
                </c:pt>
                <c:pt idx="169">
                  <c:v>18.760000000000002</c:v>
                </c:pt>
                <c:pt idx="170">
                  <c:v>18.670000000000002</c:v>
                </c:pt>
                <c:pt idx="171">
                  <c:v>18.469999000000001</c:v>
                </c:pt>
                <c:pt idx="172">
                  <c:v>18.23</c:v>
                </c:pt>
                <c:pt idx="173">
                  <c:v>18.25</c:v>
                </c:pt>
                <c:pt idx="174">
                  <c:v>18.170000000000002</c:v>
                </c:pt>
                <c:pt idx="175">
                  <c:v>17.290001</c:v>
                </c:pt>
                <c:pt idx="176">
                  <c:v>17.219999000000001</c:v>
                </c:pt>
                <c:pt idx="177">
                  <c:v>17.469999000000001</c:v>
                </c:pt>
                <c:pt idx="178">
                  <c:v>17</c:v>
                </c:pt>
                <c:pt idx="179">
                  <c:v>17.489999999999998</c:v>
                </c:pt>
                <c:pt idx="180">
                  <c:v>17.170000000000002</c:v>
                </c:pt>
                <c:pt idx="181">
                  <c:v>17.299999</c:v>
                </c:pt>
                <c:pt idx="182">
                  <c:v>16.93</c:v>
                </c:pt>
                <c:pt idx="183">
                  <c:v>18.170000000000002</c:v>
                </c:pt>
                <c:pt idx="184">
                  <c:v>17.739999999999998</c:v>
                </c:pt>
                <c:pt idx="185">
                  <c:v>17.709999</c:v>
                </c:pt>
                <c:pt idx="186">
                  <c:v>17.780000999999999</c:v>
                </c:pt>
                <c:pt idx="187">
                  <c:v>17.809999000000001</c:v>
                </c:pt>
                <c:pt idx="188">
                  <c:v>17.989999999999998</c:v>
                </c:pt>
                <c:pt idx="189">
                  <c:v>17.75</c:v>
                </c:pt>
                <c:pt idx="190">
                  <c:v>17.540001</c:v>
                </c:pt>
                <c:pt idx="191">
                  <c:v>17.709999</c:v>
                </c:pt>
                <c:pt idx="192">
                  <c:v>17.100000000000001</c:v>
                </c:pt>
                <c:pt idx="193">
                  <c:v>17.739999999999998</c:v>
                </c:pt>
                <c:pt idx="194">
                  <c:v>17.899999999999999</c:v>
                </c:pt>
                <c:pt idx="195">
                  <c:v>18.02</c:v>
                </c:pt>
                <c:pt idx="196">
                  <c:v>17.75</c:v>
                </c:pt>
                <c:pt idx="197">
                  <c:v>17.82</c:v>
                </c:pt>
                <c:pt idx="198">
                  <c:v>17.98</c:v>
                </c:pt>
                <c:pt idx="199">
                  <c:v>17.920000000000002</c:v>
                </c:pt>
                <c:pt idx="200">
                  <c:v>18.040001</c:v>
                </c:pt>
                <c:pt idx="201">
                  <c:v>17.549999</c:v>
                </c:pt>
                <c:pt idx="202">
                  <c:v>17.829999999999998</c:v>
                </c:pt>
                <c:pt idx="203">
                  <c:v>18.100000000000001</c:v>
                </c:pt>
                <c:pt idx="204">
                  <c:v>17.950001</c:v>
                </c:pt>
                <c:pt idx="205">
                  <c:v>17.77</c:v>
                </c:pt>
                <c:pt idx="206">
                  <c:v>18.389999</c:v>
                </c:pt>
                <c:pt idx="207">
                  <c:v>18.399999999999999</c:v>
                </c:pt>
                <c:pt idx="208">
                  <c:v>18.489999999999998</c:v>
                </c:pt>
                <c:pt idx="209">
                  <c:v>18.860001</c:v>
                </c:pt>
                <c:pt idx="210">
                  <c:v>19.91</c:v>
                </c:pt>
                <c:pt idx="211">
                  <c:v>19.950001</c:v>
                </c:pt>
                <c:pt idx="212">
                  <c:v>19.739999999999998</c:v>
                </c:pt>
                <c:pt idx="213">
                  <c:v>20.079999999999998</c:v>
                </c:pt>
                <c:pt idx="214">
                  <c:v>20.120000999999998</c:v>
                </c:pt>
                <c:pt idx="215">
                  <c:v>19.889999</c:v>
                </c:pt>
                <c:pt idx="216">
                  <c:v>19.52</c:v>
                </c:pt>
                <c:pt idx="217">
                  <c:v>19.389999</c:v>
                </c:pt>
                <c:pt idx="218">
                  <c:v>19.239999999999998</c:v>
                </c:pt>
                <c:pt idx="219">
                  <c:v>19.219999000000001</c:v>
                </c:pt>
                <c:pt idx="220">
                  <c:v>19.260000000000002</c:v>
                </c:pt>
                <c:pt idx="221">
                  <c:v>19.489999999999998</c:v>
                </c:pt>
                <c:pt idx="222">
                  <c:v>19.23</c:v>
                </c:pt>
                <c:pt idx="223">
                  <c:v>19.200001</c:v>
                </c:pt>
                <c:pt idx="224">
                  <c:v>19.34</c:v>
                </c:pt>
                <c:pt idx="225">
                  <c:v>19.18</c:v>
                </c:pt>
                <c:pt idx="226">
                  <c:v>18.389999</c:v>
                </c:pt>
                <c:pt idx="227">
                  <c:v>18.399999999999999</c:v>
                </c:pt>
                <c:pt idx="228">
                  <c:v>18.299999</c:v>
                </c:pt>
                <c:pt idx="229">
                  <c:v>18.5</c:v>
                </c:pt>
                <c:pt idx="230">
                  <c:v>18.41</c:v>
                </c:pt>
                <c:pt idx="231">
                  <c:v>18.129999000000002</c:v>
                </c:pt>
                <c:pt idx="232">
                  <c:v>17.989999999999998</c:v>
                </c:pt>
                <c:pt idx="233">
                  <c:v>18.110001</c:v>
                </c:pt>
                <c:pt idx="234">
                  <c:v>18.030000999999999</c:v>
                </c:pt>
                <c:pt idx="235">
                  <c:v>18.149999999999999</c:v>
                </c:pt>
                <c:pt idx="236">
                  <c:v>18.350000000000001</c:v>
                </c:pt>
                <c:pt idx="237">
                  <c:v>18.43</c:v>
                </c:pt>
                <c:pt idx="238">
                  <c:v>18.290001</c:v>
                </c:pt>
                <c:pt idx="239">
                  <c:v>18.360001</c:v>
                </c:pt>
                <c:pt idx="240">
                  <c:v>19.100000000000001</c:v>
                </c:pt>
                <c:pt idx="241">
                  <c:v>19.049999</c:v>
                </c:pt>
                <c:pt idx="242">
                  <c:v>18.709999</c:v>
                </c:pt>
                <c:pt idx="243">
                  <c:v>18.940000999999999</c:v>
                </c:pt>
                <c:pt idx="244">
                  <c:v>19.260000000000002</c:v>
                </c:pt>
                <c:pt idx="245">
                  <c:v>18.989999999999998</c:v>
                </c:pt>
                <c:pt idx="246">
                  <c:v>18.75</c:v>
                </c:pt>
                <c:pt idx="247">
                  <c:v>19.41</c:v>
                </c:pt>
                <c:pt idx="248">
                  <c:v>19.48</c:v>
                </c:pt>
                <c:pt idx="249">
                  <c:v>20.129999000000002</c:v>
                </c:pt>
                <c:pt idx="250">
                  <c:v>20.350000000000001</c:v>
                </c:pt>
                <c:pt idx="251">
                  <c:v>19.920000000000002</c:v>
                </c:pt>
                <c:pt idx="252">
                  <c:v>19.75</c:v>
                </c:pt>
                <c:pt idx="253">
                  <c:v>19.829999999999998</c:v>
                </c:pt>
                <c:pt idx="254">
                  <c:v>19.649999999999999</c:v>
                </c:pt>
                <c:pt idx="255">
                  <c:v>19.82</c:v>
                </c:pt>
                <c:pt idx="256">
                  <c:v>19.870000999999998</c:v>
                </c:pt>
                <c:pt idx="257">
                  <c:v>19.899999999999999</c:v>
                </c:pt>
                <c:pt idx="258">
                  <c:v>19.860001</c:v>
                </c:pt>
                <c:pt idx="259">
                  <c:v>19.940000999999999</c:v>
                </c:pt>
                <c:pt idx="260">
                  <c:v>19.780000999999999</c:v>
                </c:pt>
                <c:pt idx="261">
                  <c:v>19.629999000000002</c:v>
                </c:pt>
                <c:pt idx="262">
                  <c:v>19.459999</c:v>
                </c:pt>
                <c:pt idx="263">
                  <c:v>19.66</c:v>
                </c:pt>
                <c:pt idx="264">
                  <c:v>19.420000000000002</c:v>
                </c:pt>
                <c:pt idx="265">
                  <c:v>19.23</c:v>
                </c:pt>
                <c:pt idx="266">
                  <c:v>19.450001</c:v>
                </c:pt>
                <c:pt idx="267">
                  <c:v>19.799999</c:v>
                </c:pt>
                <c:pt idx="268">
                  <c:v>20.139999</c:v>
                </c:pt>
                <c:pt idx="269">
                  <c:v>20.219999000000001</c:v>
                </c:pt>
                <c:pt idx="270">
                  <c:v>20.100000000000001</c:v>
                </c:pt>
                <c:pt idx="271">
                  <c:v>19.879999000000002</c:v>
                </c:pt>
                <c:pt idx="272">
                  <c:v>20.120000999999998</c:v>
                </c:pt>
                <c:pt idx="273">
                  <c:v>20.370000999999998</c:v>
                </c:pt>
                <c:pt idx="274">
                  <c:v>20.040001</c:v>
                </c:pt>
                <c:pt idx="275">
                  <c:v>19.73</c:v>
                </c:pt>
                <c:pt idx="276">
                  <c:v>19.98</c:v>
                </c:pt>
                <c:pt idx="277">
                  <c:v>19.620000999999998</c:v>
                </c:pt>
                <c:pt idx="278">
                  <c:v>19.760000000000002</c:v>
                </c:pt>
                <c:pt idx="279">
                  <c:v>19.989999999999998</c:v>
                </c:pt>
                <c:pt idx="280">
                  <c:v>19.920000000000002</c:v>
                </c:pt>
                <c:pt idx="281">
                  <c:v>19.899999999999999</c:v>
                </c:pt>
                <c:pt idx="282">
                  <c:v>19.739999999999998</c:v>
                </c:pt>
                <c:pt idx="283">
                  <c:v>19.700001</c:v>
                </c:pt>
                <c:pt idx="284">
                  <c:v>19.829999999999998</c:v>
                </c:pt>
                <c:pt idx="285">
                  <c:v>19.709999</c:v>
                </c:pt>
                <c:pt idx="286">
                  <c:v>19.510000000000002</c:v>
                </c:pt>
                <c:pt idx="287">
                  <c:v>19.540001</c:v>
                </c:pt>
                <c:pt idx="288">
                  <c:v>19.350000000000001</c:v>
                </c:pt>
                <c:pt idx="289">
                  <c:v>18.59</c:v>
                </c:pt>
                <c:pt idx="290">
                  <c:v>18.5</c:v>
                </c:pt>
                <c:pt idx="291">
                  <c:v>18.68</c:v>
                </c:pt>
                <c:pt idx="292">
                  <c:v>18.34</c:v>
                </c:pt>
                <c:pt idx="293">
                  <c:v>18.32</c:v>
                </c:pt>
                <c:pt idx="294">
                  <c:v>18.02</c:v>
                </c:pt>
                <c:pt idx="295">
                  <c:v>17.75</c:v>
                </c:pt>
                <c:pt idx="296">
                  <c:v>17.34</c:v>
                </c:pt>
                <c:pt idx="297">
                  <c:v>17.700001</c:v>
                </c:pt>
                <c:pt idx="298">
                  <c:v>17.82</c:v>
                </c:pt>
                <c:pt idx="299">
                  <c:v>17.850000000000001</c:v>
                </c:pt>
                <c:pt idx="300">
                  <c:v>17.59</c:v>
                </c:pt>
                <c:pt idx="301">
                  <c:v>17.350000000000001</c:v>
                </c:pt>
                <c:pt idx="302">
                  <c:v>17.309999000000001</c:v>
                </c:pt>
                <c:pt idx="303">
                  <c:v>17.290001</c:v>
                </c:pt>
                <c:pt idx="304">
                  <c:v>17.030000999999999</c:v>
                </c:pt>
                <c:pt idx="305">
                  <c:v>16.579999999999998</c:v>
                </c:pt>
                <c:pt idx="306">
                  <c:v>16.34</c:v>
                </c:pt>
                <c:pt idx="307">
                  <c:v>15.71</c:v>
                </c:pt>
                <c:pt idx="308">
                  <c:v>15.79</c:v>
                </c:pt>
                <c:pt idx="309">
                  <c:v>15.63</c:v>
                </c:pt>
                <c:pt idx="310">
                  <c:v>14.83</c:v>
                </c:pt>
                <c:pt idx="311">
                  <c:v>14.52</c:v>
                </c:pt>
                <c:pt idx="312">
                  <c:v>15.36</c:v>
                </c:pt>
                <c:pt idx="313">
                  <c:v>15.12</c:v>
                </c:pt>
                <c:pt idx="314">
                  <c:v>14.93</c:v>
                </c:pt>
                <c:pt idx="315">
                  <c:v>14.78</c:v>
                </c:pt>
                <c:pt idx="316">
                  <c:v>15.15</c:v>
                </c:pt>
                <c:pt idx="317">
                  <c:v>15.43</c:v>
                </c:pt>
                <c:pt idx="318">
                  <c:v>15.45</c:v>
                </c:pt>
                <c:pt idx="319">
                  <c:v>15.45</c:v>
                </c:pt>
                <c:pt idx="320">
                  <c:v>15.97</c:v>
                </c:pt>
                <c:pt idx="321">
                  <c:v>15.86</c:v>
                </c:pt>
                <c:pt idx="322">
                  <c:v>16.049999</c:v>
                </c:pt>
                <c:pt idx="323">
                  <c:v>17.989999999999998</c:v>
                </c:pt>
                <c:pt idx="324">
                  <c:v>17.360001</c:v>
                </c:pt>
                <c:pt idx="325">
                  <c:v>16.75</c:v>
                </c:pt>
                <c:pt idx="326">
                  <c:v>16.110001</c:v>
                </c:pt>
                <c:pt idx="327">
                  <c:v>16.450001</c:v>
                </c:pt>
                <c:pt idx="328">
                  <c:v>15.98</c:v>
                </c:pt>
                <c:pt idx="329">
                  <c:v>16.620000999999998</c:v>
                </c:pt>
                <c:pt idx="330">
                  <c:v>16.450001</c:v>
                </c:pt>
                <c:pt idx="331">
                  <c:v>16.82</c:v>
                </c:pt>
                <c:pt idx="332">
                  <c:v>17.25</c:v>
                </c:pt>
                <c:pt idx="333">
                  <c:v>17.23</c:v>
                </c:pt>
                <c:pt idx="334">
                  <c:v>16.469999000000001</c:v>
                </c:pt>
                <c:pt idx="335">
                  <c:v>16.719999000000001</c:v>
                </c:pt>
                <c:pt idx="336">
                  <c:v>16.07</c:v>
                </c:pt>
                <c:pt idx="337">
                  <c:v>13.32</c:v>
                </c:pt>
                <c:pt idx="338">
                  <c:v>14.55</c:v>
                </c:pt>
                <c:pt idx="339">
                  <c:v>16.360001</c:v>
                </c:pt>
                <c:pt idx="340">
                  <c:v>18.93</c:v>
                </c:pt>
                <c:pt idx="341">
                  <c:v>17.690000999999999</c:v>
                </c:pt>
                <c:pt idx="342">
                  <c:v>17.620000999999998</c:v>
                </c:pt>
                <c:pt idx="343">
                  <c:v>17.600000000000001</c:v>
                </c:pt>
                <c:pt idx="344">
                  <c:v>16.579999999999998</c:v>
                </c:pt>
                <c:pt idx="345">
                  <c:v>17.59</c:v>
                </c:pt>
                <c:pt idx="346">
                  <c:v>17.139999</c:v>
                </c:pt>
                <c:pt idx="347">
                  <c:v>18.370000999999998</c:v>
                </c:pt>
                <c:pt idx="348">
                  <c:v>17.969999000000001</c:v>
                </c:pt>
                <c:pt idx="349">
                  <c:v>18.600000000000001</c:v>
                </c:pt>
                <c:pt idx="350">
                  <c:v>18.59</c:v>
                </c:pt>
                <c:pt idx="351">
                  <c:v>18.68</c:v>
                </c:pt>
                <c:pt idx="352">
                  <c:v>18.969999000000001</c:v>
                </c:pt>
                <c:pt idx="353">
                  <c:v>19.02</c:v>
                </c:pt>
                <c:pt idx="354">
                  <c:v>19.389999</c:v>
                </c:pt>
                <c:pt idx="355">
                  <c:v>19.260000000000002</c:v>
                </c:pt>
                <c:pt idx="356">
                  <c:v>19.23</c:v>
                </c:pt>
                <c:pt idx="357">
                  <c:v>19</c:v>
                </c:pt>
                <c:pt idx="358">
                  <c:v>18.809999000000001</c:v>
                </c:pt>
                <c:pt idx="359">
                  <c:v>19.07</c:v>
                </c:pt>
                <c:pt idx="360">
                  <c:v>18.98</c:v>
                </c:pt>
                <c:pt idx="361">
                  <c:v>20.350000000000001</c:v>
                </c:pt>
                <c:pt idx="362">
                  <c:v>20.440000999999999</c:v>
                </c:pt>
                <c:pt idx="363">
                  <c:v>20.059999000000001</c:v>
                </c:pt>
                <c:pt idx="364">
                  <c:v>20.469999000000001</c:v>
                </c:pt>
                <c:pt idx="365">
                  <c:v>20.92</c:v>
                </c:pt>
                <c:pt idx="366">
                  <c:v>21.4</c:v>
                </c:pt>
                <c:pt idx="367">
                  <c:v>21.690000999999999</c:v>
                </c:pt>
                <c:pt idx="368">
                  <c:v>21.379999000000002</c:v>
                </c:pt>
                <c:pt idx="369">
                  <c:v>21.27</c:v>
                </c:pt>
                <c:pt idx="370">
                  <c:v>20.75</c:v>
                </c:pt>
                <c:pt idx="371">
                  <c:v>20.780000999999999</c:v>
                </c:pt>
                <c:pt idx="372">
                  <c:v>21.030000999999999</c:v>
                </c:pt>
                <c:pt idx="373">
                  <c:v>21.76</c:v>
                </c:pt>
                <c:pt idx="374">
                  <c:v>22.26</c:v>
                </c:pt>
                <c:pt idx="375">
                  <c:v>23.889999</c:v>
                </c:pt>
                <c:pt idx="376">
                  <c:v>24.24</c:v>
                </c:pt>
                <c:pt idx="377">
                  <c:v>25.18</c:v>
                </c:pt>
                <c:pt idx="378">
                  <c:v>26.52</c:v>
                </c:pt>
                <c:pt idx="379">
                  <c:v>25.58</c:v>
                </c:pt>
                <c:pt idx="380">
                  <c:v>25.6</c:v>
                </c:pt>
                <c:pt idx="381">
                  <c:v>24.629999000000002</c:v>
                </c:pt>
                <c:pt idx="382">
                  <c:v>24.860001</c:v>
                </c:pt>
                <c:pt idx="383">
                  <c:v>25.139999</c:v>
                </c:pt>
                <c:pt idx="384">
                  <c:v>25.299999</c:v>
                </c:pt>
                <c:pt idx="385">
                  <c:v>25.309999000000001</c:v>
                </c:pt>
                <c:pt idx="386">
                  <c:v>24.51</c:v>
                </c:pt>
                <c:pt idx="387">
                  <c:v>24.290001</c:v>
                </c:pt>
                <c:pt idx="388">
                  <c:v>24.440000999999999</c:v>
                </c:pt>
                <c:pt idx="389">
                  <c:v>24.82</c:v>
                </c:pt>
                <c:pt idx="390">
                  <c:v>24.76</c:v>
                </c:pt>
                <c:pt idx="391">
                  <c:v>25.129999000000002</c:v>
                </c:pt>
                <c:pt idx="392">
                  <c:v>25.48</c:v>
                </c:pt>
                <c:pt idx="393">
                  <c:v>25.77</c:v>
                </c:pt>
                <c:pt idx="394">
                  <c:v>25.620000999999998</c:v>
                </c:pt>
                <c:pt idx="395">
                  <c:v>24.93</c:v>
                </c:pt>
                <c:pt idx="396">
                  <c:v>24.950001</c:v>
                </c:pt>
                <c:pt idx="397">
                  <c:v>24.83</c:v>
                </c:pt>
                <c:pt idx="398">
                  <c:v>24.879999000000002</c:v>
                </c:pt>
                <c:pt idx="399">
                  <c:v>24.309999000000001</c:v>
                </c:pt>
                <c:pt idx="400">
                  <c:v>23.860001</c:v>
                </c:pt>
                <c:pt idx="401">
                  <c:v>23.01</c:v>
                </c:pt>
                <c:pt idx="402">
                  <c:v>22.879999000000002</c:v>
                </c:pt>
                <c:pt idx="403">
                  <c:v>23.559999000000001</c:v>
                </c:pt>
                <c:pt idx="404">
                  <c:v>23.34</c:v>
                </c:pt>
                <c:pt idx="405">
                  <c:v>22.299999</c:v>
                </c:pt>
                <c:pt idx="406">
                  <c:v>22.309999000000001</c:v>
                </c:pt>
                <c:pt idx="407">
                  <c:v>23.370000999999998</c:v>
                </c:pt>
                <c:pt idx="408">
                  <c:v>23.23</c:v>
                </c:pt>
                <c:pt idx="409">
                  <c:v>23.6</c:v>
                </c:pt>
                <c:pt idx="410">
                  <c:v>24.23</c:v>
                </c:pt>
                <c:pt idx="411">
                  <c:v>24.719999000000001</c:v>
                </c:pt>
                <c:pt idx="412">
                  <c:v>25.91</c:v>
                </c:pt>
                <c:pt idx="413">
                  <c:v>25.59</c:v>
                </c:pt>
                <c:pt idx="414">
                  <c:v>24.93</c:v>
                </c:pt>
                <c:pt idx="415">
                  <c:v>24.9</c:v>
                </c:pt>
                <c:pt idx="416">
                  <c:v>25.9</c:v>
                </c:pt>
                <c:pt idx="417">
                  <c:v>26.16</c:v>
                </c:pt>
                <c:pt idx="418">
                  <c:v>24.879999000000002</c:v>
                </c:pt>
                <c:pt idx="419">
                  <c:v>24.52</c:v>
                </c:pt>
                <c:pt idx="420">
                  <c:v>24.35</c:v>
                </c:pt>
                <c:pt idx="421">
                  <c:v>24.299999</c:v>
                </c:pt>
                <c:pt idx="422">
                  <c:v>25.65</c:v>
                </c:pt>
                <c:pt idx="423">
                  <c:v>25.92</c:v>
                </c:pt>
                <c:pt idx="424">
                  <c:v>25.67</c:v>
                </c:pt>
                <c:pt idx="425">
                  <c:v>25.639999</c:v>
                </c:pt>
                <c:pt idx="426">
                  <c:v>25.58</c:v>
                </c:pt>
                <c:pt idx="427">
                  <c:v>27.41</c:v>
                </c:pt>
                <c:pt idx="428">
                  <c:v>27.309999000000001</c:v>
                </c:pt>
                <c:pt idx="429">
                  <c:v>27.040001</c:v>
                </c:pt>
                <c:pt idx="430">
                  <c:v>26.610001</c:v>
                </c:pt>
                <c:pt idx="431">
                  <c:v>26.91</c:v>
                </c:pt>
                <c:pt idx="432">
                  <c:v>27.02</c:v>
                </c:pt>
                <c:pt idx="433">
                  <c:v>27.15</c:v>
                </c:pt>
                <c:pt idx="434">
                  <c:v>26.5</c:v>
                </c:pt>
                <c:pt idx="435">
                  <c:v>26.379999000000002</c:v>
                </c:pt>
                <c:pt idx="436">
                  <c:v>25.24</c:v>
                </c:pt>
                <c:pt idx="437">
                  <c:v>25.280000999999999</c:v>
                </c:pt>
                <c:pt idx="438">
                  <c:v>24.879999000000002</c:v>
                </c:pt>
                <c:pt idx="439">
                  <c:v>24.66</c:v>
                </c:pt>
                <c:pt idx="440">
                  <c:v>25.030000999999999</c:v>
                </c:pt>
                <c:pt idx="441">
                  <c:v>24.77</c:v>
                </c:pt>
                <c:pt idx="442">
                  <c:v>23.709999</c:v>
                </c:pt>
                <c:pt idx="443">
                  <c:v>23.860001</c:v>
                </c:pt>
                <c:pt idx="444">
                  <c:v>24.469999000000001</c:v>
                </c:pt>
                <c:pt idx="445">
                  <c:v>24.5</c:v>
                </c:pt>
                <c:pt idx="446">
                  <c:v>24.35</c:v>
                </c:pt>
                <c:pt idx="447">
                  <c:v>24.129999000000002</c:v>
                </c:pt>
                <c:pt idx="448">
                  <c:v>24.190000999999999</c:v>
                </c:pt>
                <c:pt idx="449">
                  <c:v>24.32</c:v>
                </c:pt>
                <c:pt idx="450">
                  <c:v>23.48</c:v>
                </c:pt>
                <c:pt idx="451">
                  <c:v>23.98</c:v>
                </c:pt>
                <c:pt idx="452">
                  <c:v>24.309999000000001</c:v>
                </c:pt>
                <c:pt idx="453">
                  <c:v>24.299999</c:v>
                </c:pt>
                <c:pt idx="454">
                  <c:v>24.549999</c:v>
                </c:pt>
                <c:pt idx="455">
                  <c:v>23.959999</c:v>
                </c:pt>
                <c:pt idx="456">
                  <c:v>23.35</c:v>
                </c:pt>
                <c:pt idx="457">
                  <c:v>23.5</c:v>
                </c:pt>
                <c:pt idx="458">
                  <c:v>23.959999</c:v>
                </c:pt>
                <c:pt idx="459">
                  <c:v>23.190000999999999</c:v>
                </c:pt>
                <c:pt idx="460">
                  <c:v>22.639999</c:v>
                </c:pt>
                <c:pt idx="461">
                  <c:v>21.82</c:v>
                </c:pt>
                <c:pt idx="462">
                  <c:v>22.18</c:v>
                </c:pt>
                <c:pt idx="463">
                  <c:v>21.379999000000002</c:v>
                </c:pt>
                <c:pt idx="464">
                  <c:v>21.620000999999998</c:v>
                </c:pt>
                <c:pt idx="465">
                  <c:v>21.07</c:v>
                </c:pt>
                <c:pt idx="466">
                  <c:v>20.610001</c:v>
                </c:pt>
                <c:pt idx="467">
                  <c:v>20.309999000000001</c:v>
                </c:pt>
                <c:pt idx="468">
                  <c:v>21.120000999999998</c:v>
                </c:pt>
                <c:pt idx="469">
                  <c:v>20.67</c:v>
                </c:pt>
                <c:pt idx="470">
                  <c:v>20.610001</c:v>
                </c:pt>
                <c:pt idx="471">
                  <c:v>20.690000999999999</c:v>
                </c:pt>
                <c:pt idx="472">
                  <c:v>20.639999</c:v>
                </c:pt>
                <c:pt idx="473">
                  <c:v>20.950001</c:v>
                </c:pt>
                <c:pt idx="474">
                  <c:v>20.969999000000001</c:v>
                </c:pt>
                <c:pt idx="475">
                  <c:v>21.18</c:v>
                </c:pt>
                <c:pt idx="476">
                  <c:v>21.120000999999998</c:v>
                </c:pt>
                <c:pt idx="477">
                  <c:v>20.93</c:v>
                </c:pt>
                <c:pt idx="478">
                  <c:v>21.16</c:v>
                </c:pt>
                <c:pt idx="479">
                  <c:v>20.690000999999999</c:v>
                </c:pt>
                <c:pt idx="480">
                  <c:v>21.34</c:v>
                </c:pt>
                <c:pt idx="481">
                  <c:v>21.09</c:v>
                </c:pt>
                <c:pt idx="482">
                  <c:v>21.17</c:v>
                </c:pt>
                <c:pt idx="483">
                  <c:v>21.290001</c:v>
                </c:pt>
                <c:pt idx="484">
                  <c:v>21.790001</c:v>
                </c:pt>
                <c:pt idx="485">
                  <c:v>21.57</c:v>
                </c:pt>
                <c:pt idx="486">
                  <c:v>21.91</c:v>
                </c:pt>
                <c:pt idx="487">
                  <c:v>21.66</c:v>
                </c:pt>
                <c:pt idx="488">
                  <c:v>21.799999</c:v>
                </c:pt>
                <c:pt idx="489">
                  <c:v>21.879999000000002</c:v>
                </c:pt>
                <c:pt idx="490">
                  <c:v>21.389999</c:v>
                </c:pt>
                <c:pt idx="491">
                  <c:v>21.32</c:v>
                </c:pt>
                <c:pt idx="492">
                  <c:v>21.41</c:v>
                </c:pt>
                <c:pt idx="493">
                  <c:v>20.85</c:v>
                </c:pt>
                <c:pt idx="494">
                  <c:v>20.67</c:v>
                </c:pt>
                <c:pt idx="495">
                  <c:v>20.82</c:v>
                </c:pt>
                <c:pt idx="496">
                  <c:v>20.399999999999999</c:v>
                </c:pt>
                <c:pt idx="497">
                  <c:v>20.329999999999998</c:v>
                </c:pt>
                <c:pt idx="498">
                  <c:v>19.48</c:v>
                </c:pt>
                <c:pt idx="499">
                  <c:v>19.049999</c:v>
                </c:pt>
                <c:pt idx="500">
                  <c:v>18.59</c:v>
                </c:pt>
                <c:pt idx="501">
                  <c:v>19.799999</c:v>
                </c:pt>
                <c:pt idx="502">
                  <c:v>19.809999000000001</c:v>
                </c:pt>
                <c:pt idx="503">
                  <c:v>20.25</c:v>
                </c:pt>
                <c:pt idx="504">
                  <c:v>20.32</c:v>
                </c:pt>
                <c:pt idx="505">
                  <c:v>19.559999000000001</c:v>
                </c:pt>
                <c:pt idx="506">
                  <c:v>20.010000000000002</c:v>
                </c:pt>
                <c:pt idx="507">
                  <c:v>20.16</c:v>
                </c:pt>
                <c:pt idx="508">
                  <c:v>20.23</c:v>
                </c:pt>
                <c:pt idx="509">
                  <c:v>20.41</c:v>
                </c:pt>
                <c:pt idx="510">
                  <c:v>20.350000000000001</c:v>
                </c:pt>
                <c:pt idx="511">
                  <c:v>20.32</c:v>
                </c:pt>
                <c:pt idx="512">
                  <c:v>19.73</c:v>
                </c:pt>
                <c:pt idx="513">
                  <c:v>20.280000999999999</c:v>
                </c:pt>
                <c:pt idx="514">
                  <c:v>20.040001</c:v>
                </c:pt>
                <c:pt idx="515">
                  <c:v>20.83</c:v>
                </c:pt>
                <c:pt idx="516">
                  <c:v>20.780000999999999</c:v>
                </c:pt>
                <c:pt idx="517">
                  <c:v>20.299999</c:v>
                </c:pt>
                <c:pt idx="518">
                  <c:v>20.59</c:v>
                </c:pt>
                <c:pt idx="519">
                  <c:v>21.17</c:v>
                </c:pt>
                <c:pt idx="520">
                  <c:v>21.280000999999999</c:v>
                </c:pt>
                <c:pt idx="521">
                  <c:v>20.719999000000001</c:v>
                </c:pt>
                <c:pt idx="522">
                  <c:v>20.010000000000002</c:v>
                </c:pt>
                <c:pt idx="523">
                  <c:v>19.889999</c:v>
                </c:pt>
                <c:pt idx="524">
                  <c:v>19.93</c:v>
                </c:pt>
                <c:pt idx="525">
                  <c:v>20.100000000000001</c:v>
                </c:pt>
                <c:pt idx="526">
                  <c:v>20.030000999999999</c:v>
                </c:pt>
                <c:pt idx="527">
                  <c:v>20.110001</c:v>
                </c:pt>
                <c:pt idx="528">
                  <c:v>19.690000999999999</c:v>
                </c:pt>
                <c:pt idx="529">
                  <c:v>19.440000999999999</c:v>
                </c:pt>
                <c:pt idx="530">
                  <c:v>19.799999</c:v>
                </c:pt>
                <c:pt idx="531">
                  <c:v>19.940000999999999</c:v>
                </c:pt>
                <c:pt idx="532">
                  <c:v>20.329999999999998</c:v>
                </c:pt>
                <c:pt idx="533">
                  <c:v>20.540001</c:v>
                </c:pt>
                <c:pt idx="534">
                  <c:v>20.129999000000002</c:v>
                </c:pt>
                <c:pt idx="535">
                  <c:v>20.209999</c:v>
                </c:pt>
                <c:pt idx="536">
                  <c:v>20.469999000000001</c:v>
                </c:pt>
                <c:pt idx="537">
                  <c:v>20.290001</c:v>
                </c:pt>
                <c:pt idx="538">
                  <c:v>20.57</c:v>
                </c:pt>
                <c:pt idx="539">
                  <c:v>20.530000999999999</c:v>
                </c:pt>
                <c:pt idx="540">
                  <c:v>20.120000999999998</c:v>
                </c:pt>
                <c:pt idx="541">
                  <c:v>20.100000000000001</c:v>
                </c:pt>
                <c:pt idx="542">
                  <c:v>20.23</c:v>
                </c:pt>
                <c:pt idx="543">
                  <c:v>20.18</c:v>
                </c:pt>
                <c:pt idx="544">
                  <c:v>20.260000000000002</c:v>
                </c:pt>
                <c:pt idx="545">
                  <c:v>19.629999000000002</c:v>
                </c:pt>
                <c:pt idx="546">
                  <c:v>19.420000000000002</c:v>
                </c:pt>
                <c:pt idx="547">
                  <c:v>19.48</c:v>
                </c:pt>
                <c:pt idx="548">
                  <c:v>19.690000999999999</c:v>
                </c:pt>
                <c:pt idx="549">
                  <c:v>20.190000999999999</c:v>
                </c:pt>
                <c:pt idx="550">
                  <c:v>20.469999000000001</c:v>
                </c:pt>
                <c:pt idx="551">
                  <c:v>20.92</c:v>
                </c:pt>
                <c:pt idx="552">
                  <c:v>21.190000999999999</c:v>
                </c:pt>
                <c:pt idx="553">
                  <c:v>21.01</c:v>
                </c:pt>
                <c:pt idx="554">
                  <c:v>21.09</c:v>
                </c:pt>
                <c:pt idx="555">
                  <c:v>21.41</c:v>
                </c:pt>
                <c:pt idx="556">
                  <c:v>22.27</c:v>
                </c:pt>
                <c:pt idx="557">
                  <c:v>23.91</c:v>
                </c:pt>
                <c:pt idx="558">
                  <c:v>24.610001</c:v>
                </c:pt>
                <c:pt idx="559">
                  <c:v>22.559999000000001</c:v>
                </c:pt>
                <c:pt idx="560">
                  <c:v>22.65</c:v>
                </c:pt>
                <c:pt idx="561">
                  <c:v>22.27</c:v>
                </c:pt>
                <c:pt idx="562">
                  <c:v>21.610001</c:v>
                </c:pt>
                <c:pt idx="563">
                  <c:v>21.940000999999999</c:v>
                </c:pt>
                <c:pt idx="564">
                  <c:v>22.24</c:v>
                </c:pt>
                <c:pt idx="565">
                  <c:v>22.309999000000001</c:v>
                </c:pt>
                <c:pt idx="566">
                  <c:v>22.530000999999999</c:v>
                </c:pt>
                <c:pt idx="567">
                  <c:v>22.879999000000002</c:v>
                </c:pt>
                <c:pt idx="568">
                  <c:v>22.59</c:v>
                </c:pt>
                <c:pt idx="569">
                  <c:v>22.450001</c:v>
                </c:pt>
                <c:pt idx="570">
                  <c:v>21.969999000000001</c:v>
                </c:pt>
                <c:pt idx="571">
                  <c:v>21.790001</c:v>
                </c:pt>
                <c:pt idx="572">
                  <c:v>21.74</c:v>
                </c:pt>
                <c:pt idx="573">
                  <c:v>21.690000999999999</c:v>
                </c:pt>
                <c:pt idx="574">
                  <c:v>21.879999000000002</c:v>
                </c:pt>
                <c:pt idx="575">
                  <c:v>21.629999000000002</c:v>
                </c:pt>
                <c:pt idx="576">
                  <c:v>21.809999000000001</c:v>
                </c:pt>
                <c:pt idx="577">
                  <c:v>21.48</c:v>
                </c:pt>
                <c:pt idx="578">
                  <c:v>20.52</c:v>
                </c:pt>
                <c:pt idx="579">
                  <c:v>21.110001</c:v>
                </c:pt>
                <c:pt idx="580">
                  <c:v>21.780000999999999</c:v>
                </c:pt>
                <c:pt idx="581">
                  <c:v>21.77</c:v>
                </c:pt>
                <c:pt idx="582">
                  <c:v>23</c:v>
                </c:pt>
                <c:pt idx="583">
                  <c:v>24.08</c:v>
                </c:pt>
                <c:pt idx="584">
                  <c:v>23.620000999999998</c:v>
                </c:pt>
                <c:pt idx="585">
                  <c:v>23.860001</c:v>
                </c:pt>
                <c:pt idx="586">
                  <c:v>23.23</c:v>
                </c:pt>
                <c:pt idx="587">
                  <c:v>24.1</c:v>
                </c:pt>
                <c:pt idx="588">
                  <c:v>24.35</c:v>
                </c:pt>
                <c:pt idx="589">
                  <c:v>24.43</c:v>
                </c:pt>
                <c:pt idx="590">
                  <c:v>24.809999000000001</c:v>
                </c:pt>
                <c:pt idx="591">
                  <c:v>24.42</c:v>
                </c:pt>
                <c:pt idx="592">
                  <c:v>24.25</c:v>
                </c:pt>
                <c:pt idx="593">
                  <c:v>24.049999</c:v>
                </c:pt>
                <c:pt idx="594">
                  <c:v>24.030000999999999</c:v>
                </c:pt>
                <c:pt idx="595">
                  <c:v>25.18</c:v>
                </c:pt>
                <c:pt idx="596">
                  <c:v>25.870000999999998</c:v>
                </c:pt>
                <c:pt idx="597">
                  <c:v>25.280000999999999</c:v>
                </c:pt>
                <c:pt idx="598">
                  <c:v>26.299999</c:v>
                </c:pt>
                <c:pt idx="599">
                  <c:v>27.959999</c:v>
                </c:pt>
                <c:pt idx="600">
                  <c:v>28</c:v>
                </c:pt>
                <c:pt idx="601">
                  <c:v>28.129999000000002</c:v>
                </c:pt>
                <c:pt idx="602">
                  <c:v>26.620000999999998</c:v>
                </c:pt>
                <c:pt idx="603">
                  <c:v>26.42</c:v>
                </c:pt>
                <c:pt idx="604">
                  <c:v>26.74</c:v>
                </c:pt>
                <c:pt idx="605">
                  <c:v>26.49</c:v>
                </c:pt>
                <c:pt idx="606">
                  <c:v>26.530000999999999</c:v>
                </c:pt>
                <c:pt idx="607">
                  <c:v>25.98</c:v>
                </c:pt>
                <c:pt idx="608">
                  <c:v>26.1</c:v>
                </c:pt>
                <c:pt idx="609">
                  <c:v>27.27</c:v>
                </c:pt>
                <c:pt idx="610">
                  <c:v>27.26</c:v>
                </c:pt>
                <c:pt idx="611">
                  <c:v>26.42</c:v>
                </c:pt>
                <c:pt idx="612">
                  <c:v>26.74</c:v>
                </c:pt>
                <c:pt idx="613">
                  <c:v>27</c:v>
                </c:pt>
                <c:pt idx="614">
                  <c:v>26.860001</c:v>
                </c:pt>
                <c:pt idx="615">
                  <c:v>27</c:v>
                </c:pt>
                <c:pt idx="616">
                  <c:v>27.030000999999999</c:v>
                </c:pt>
                <c:pt idx="617">
                  <c:v>26.549999</c:v>
                </c:pt>
                <c:pt idx="618">
                  <c:v>26.52</c:v>
                </c:pt>
                <c:pt idx="619">
                  <c:v>25.57</c:v>
                </c:pt>
                <c:pt idx="620">
                  <c:v>25.799999</c:v>
                </c:pt>
                <c:pt idx="621">
                  <c:v>26.190000999999999</c:v>
                </c:pt>
                <c:pt idx="622">
                  <c:v>26.209999</c:v>
                </c:pt>
                <c:pt idx="623">
                  <c:v>25.610001</c:v>
                </c:pt>
                <c:pt idx="624">
                  <c:v>26.530000999999999</c:v>
                </c:pt>
                <c:pt idx="625">
                  <c:v>26.09</c:v>
                </c:pt>
                <c:pt idx="626">
                  <c:v>25.870000999999998</c:v>
                </c:pt>
                <c:pt idx="627">
                  <c:v>26.370000999999998</c:v>
                </c:pt>
                <c:pt idx="628">
                  <c:v>25.809999000000001</c:v>
                </c:pt>
                <c:pt idx="629">
                  <c:v>26.92</c:v>
                </c:pt>
                <c:pt idx="630">
                  <c:v>26.950001</c:v>
                </c:pt>
                <c:pt idx="631">
                  <c:v>25.719999000000001</c:v>
                </c:pt>
                <c:pt idx="632">
                  <c:v>25.889999</c:v>
                </c:pt>
                <c:pt idx="633">
                  <c:v>26.370000999999998</c:v>
                </c:pt>
                <c:pt idx="634">
                  <c:v>26.360001</c:v>
                </c:pt>
                <c:pt idx="635">
                  <c:v>26.299999</c:v>
                </c:pt>
                <c:pt idx="636">
                  <c:v>25.42</c:v>
                </c:pt>
                <c:pt idx="637">
                  <c:v>25.48</c:v>
                </c:pt>
                <c:pt idx="638">
                  <c:v>25.799999</c:v>
                </c:pt>
                <c:pt idx="639">
                  <c:v>25.57</c:v>
                </c:pt>
                <c:pt idx="640">
                  <c:v>25.690000999999999</c:v>
                </c:pt>
                <c:pt idx="641">
                  <c:v>25.76</c:v>
                </c:pt>
                <c:pt idx="642">
                  <c:v>26.059999000000001</c:v>
                </c:pt>
                <c:pt idx="643">
                  <c:v>26.6</c:v>
                </c:pt>
                <c:pt idx="644">
                  <c:v>26.6</c:v>
                </c:pt>
                <c:pt idx="645">
                  <c:v>27.389999</c:v>
                </c:pt>
                <c:pt idx="646">
                  <c:v>27.559999000000001</c:v>
                </c:pt>
                <c:pt idx="647">
                  <c:v>27.58</c:v>
                </c:pt>
                <c:pt idx="648">
                  <c:v>27.77</c:v>
                </c:pt>
                <c:pt idx="649">
                  <c:v>27.959999</c:v>
                </c:pt>
                <c:pt idx="650">
                  <c:v>27.67</c:v>
                </c:pt>
                <c:pt idx="651">
                  <c:v>29</c:v>
                </c:pt>
                <c:pt idx="652">
                  <c:v>29</c:v>
                </c:pt>
                <c:pt idx="653">
                  <c:v>28.75</c:v>
                </c:pt>
                <c:pt idx="654">
                  <c:v>28.299999</c:v>
                </c:pt>
                <c:pt idx="655">
                  <c:v>27.57</c:v>
                </c:pt>
                <c:pt idx="656">
                  <c:v>27.889999</c:v>
                </c:pt>
                <c:pt idx="657">
                  <c:v>27.57</c:v>
                </c:pt>
                <c:pt idx="658">
                  <c:v>28.129999000000002</c:v>
                </c:pt>
                <c:pt idx="659">
                  <c:v>27.85</c:v>
                </c:pt>
                <c:pt idx="660">
                  <c:v>26.98</c:v>
                </c:pt>
                <c:pt idx="661">
                  <c:v>26.32</c:v>
                </c:pt>
                <c:pt idx="662">
                  <c:v>26.379999000000002</c:v>
                </c:pt>
                <c:pt idx="663">
                  <c:v>26.469999000000001</c:v>
                </c:pt>
                <c:pt idx="664">
                  <c:v>25.33</c:v>
                </c:pt>
                <c:pt idx="665">
                  <c:v>24.85</c:v>
                </c:pt>
                <c:pt idx="666">
                  <c:v>25.4</c:v>
                </c:pt>
                <c:pt idx="667">
                  <c:v>25.49</c:v>
                </c:pt>
                <c:pt idx="668">
                  <c:v>25.280000999999999</c:v>
                </c:pt>
                <c:pt idx="669">
                  <c:v>25.790001</c:v>
                </c:pt>
                <c:pt idx="670">
                  <c:v>25.75</c:v>
                </c:pt>
                <c:pt idx="671">
                  <c:v>26.540001</c:v>
                </c:pt>
                <c:pt idx="672">
                  <c:v>26.219999000000001</c:v>
                </c:pt>
                <c:pt idx="673">
                  <c:v>25.65</c:v>
                </c:pt>
                <c:pt idx="674">
                  <c:v>25.450001</c:v>
                </c:pt>
                <c:pt idx="675">
                  <c:v>25.459999</c:v>
                </c:pt>
                <c:pt idx="676">
                  <c:v>25.709999</c:v>
                </c:pt>
                <c:pt idx="677">
                  <c:v>25.85</c:v>
                </c:pt>
                <c:pt idx="678">
                  <c:v>25.67</c:v>
                </c:pt>
                <c:pt idx="679">
                  <c:v>25.200001</c:v>
                </c:pt>
                <c:pt idx="680">
                  <c:v>24.700001</c:v>
                </c:pt>
                <c:pt idx="681">
                  <c:v>24.74</c:v>
                </c:pt>
                <c:pt idx="682">
                  <c:v>24.58</c:v>
                </c:pt>
                <c:pt idx="683">
                  <c:v>24.690000999999999</c:v>
                </c:pt>
                <c:pt idx="684">
                  <c:v>24.83</c:v>
                </c:pt>
                <c:pt idx="685">
                  <c:v>24.950001</c:v>
                </c:pt>
                <c:pt idx="686">
                  <c:v>24.58</c:v>
                </c:pt>
                <c:pt idx="687">
                  <c:v>24.48</c:v>
                </c:pt>
                <c:pt idx="688">
                  <c:v>24.43</c:v>
                </c:pt>
                <c:pt idx="689">
                  <c:v>23.66</c:v>
                </c:pt>
                <c:pt idx="690">
                  <c:v>24.42</c:v>
                </c:pt>
                <c:pt idx="691">
                  <c:v>23.799999</c:v>
                </c:pt>
                <c:pt idx="692">
                  <c:v>24.26</c:v>
                </c:pt>
                <c:pt idx="693">
                  <c:v>24.67</c:v>
                </c:pt>
                <c:pt idx="694">
                  <c:v>24.709999</c:v>
                </c:pt>
                <c:pt idx="695">
                  <c:v>24.6</c:v>
                </c:pt>
                <c:pt idx="696">
                  <c:v>24.26</c:v>
                </c:pt>
                <c:pt idx="697">
                  <c:v>24.23</c:v>
                </c:pt>
                <c:pt idx="698">
                  <c:v>24.84</c:v>
                </c:pt>
                <c:pt idx="699">
                  <c:v>25.02</c:v>
                </c:pt>
                <c:pt idx="700">
                  <c:v>24.57</c:v>
                </c:pt>
                <c:pt idx="701">
                  <c:v>24.950001</c:v>
                </c:pt>
                <c:pt idx="702">
                  <c:v>24.77</c:v>
                </c:pt>
                <c:pt idx="703">
                  <c:v>24.290001</c:v>
                </c:pt>
                <c:pt idx="704">
                  <c:v>24.370000999999998</c:v>
                </c:pt>
                <c:pt idx="705">
                  <c:v>24.549999</c:v>
                </c:pt>
                <c:pt idx="706">
                  <c:v>24.709999</c:v>
                </c:pt>
                <c:pt idx="707">
                  <c:v>24.65</c:v>
                </c:pt>
                <c:pt idx="708">
                  <c:v>24.9</c:v>
                </c:pt>
                <c:pt idx="709">
                  <c:v>24.27</c:v>
                </c:pt>
                <c:pt idx="710">
                  <c:v>24.879999000000002</c:v>
                </c:pt>
                <c:pt idx="711">
                  <c:v>24.549999</c:v>
                </c:pt>
                <c:pt idx="712">
                  <c:v>23.799999</c:v>
                </c:pt>
                <c:pt idx="713">
                  <c:v>23.290001</c:v>
                </c:pt>
                <c:pt idx="714">
                  <c:v>23.379999000000002</c:v>
                </c:pt>
                <c:pt idx="715">
                  <c:v>23.15</c:v>
                </c:pt>
                <c:pt idx="716">
                  <c:v>22.98</c:v>
                </c:pt>
                <c:pt idx="717">
                  <c:v>22.620000999999998</c:v>
                </c:pt>
                <c:pt idx="718">
                  <c:v>22.59</c:v>
                </c:pt>
                <c:pt idx="719">
                  <c:v>22.809999000000001</c:v>
                </c:pt>
                <c:pt idx="720">
                  <c:v>22.75</c:v>
                </c:pt>
                <c:pt idx="721">
                  <c:v>22.41</c:v>
                </c:pt>
                <c:pt idx="722">
                  <c:v>22.639999</c:v>
                </c:pt>
                <c:pt idx="723">
                  <c:v>22.440000999999999</c:v>
                </c:pt>
                <c:pt idx="724">
                  <c:v>22.77</c:v>
                </c:pt>
                <c:pt idx="725">
                  <c:v>22.43</c:v>
                </c:pt>
                <c:pt idx="726">
                  <c:v>23.040001</c:v>
                </c:pt>
                <c:pt idx="727">
                  <c:v>23</c:v>
                </c:pt>
                <c:pt idx="728">
                  <c:v>23.57</c:v>
                </c:pt>
                <c:pt idx="729">
                  <c:v>23.17</c:v>
                </c:pt>
                <c:pt idx="730">
                  <c:v>21.99</c:v>
                </c:pt>
                <c:pt idx="731">
                  <c:v>22.629999000000002</c:v>
                </c:pt>
                <c:pt idx="732">
                  <c:v>22.15</c:v>
                </c:pt>
                <c:pt idx="733">
                  <c:v>22.23</c:v>
                </c:pt>
                <c:pt idx="734">
                  <c:v>22.200001</c:v>
                </c:pt>
                <c:pt idx="735">
                  <c:v>22.33</c:v>
                </c:pt>
                <c:pt idx="736">
                  <c:v>22.43</c:v>
                </c:pt>
                <c:pt idx="737">
                  <c:v>22.639999</c:v>
                </c:pt>
                <c:pt idx="738">
                  <c:v>22.530000999999999</c:v>
                </c:pt>
                <c:pt idx="739">
                  <c:v>22.49</c:v>
                </c:pt>
                <c:pt idx="740">
                  <c:v>22.110001</c:v>
                </c:pt>
                <c:pt idx="741">
                  <c:v>22.42</c:v>
                </c:pt>
                <c:pt idx="742">
                  <c:v>22.24</c:v>
                </c:pt>
                <c:pt idx="743">
                  <c:v>22.26</c:v>
                </c:pt>
                <c:pt idx="744">
                  <c:v>22.129999000000002</c:v>
                </c:pt>
                <c:pt idx="745">
                  <c:v>22.42</c:v>
                </c:pt>
                <c:pt idx="746">
                  <c:v>22.17</c:v>
                </c:pt>
                <c:pt idx="747">
                  <c:v>22.01</c:v>
                </c:pt>
                <c:pt idx="748">
                  <c:v>21.76</c:v>
                </c:pt>
                <c:pt idx="749">
                  <c:v>22.030000999999999</c:v>
                </c:pt>
                <c:pt idx="750">
                  <c:v>22.139999</c:v>
                </c:pt>
                <c:pt idx="751">
                  <c:v>22.290001</c:v>
                </c:pt>
                <c:pt idx="752">
                  <c:v>22.200001</c:v>
                </c:pt>
                <c:pt idx="753">
                  <c:v>23.370000999999998</c:v>
                </c:pt>
                <c:pt idx="754">
                  <c:v>23.049999</c:v>
                </c:pt>
                <c:pt idx="755">
                  <c:v>24.129999000000002</c:v>
                </c:pt>
                <c:pt idx="756">
                  <c:v>24.370000999999998</c:v>
                </c:pt>
                <c:pt idx="757">
                  <c:v>24.33</c:v>
                </c:pt>
                <c:pt idx="758">
                  <c:v>24.059999000000001</c:v>
                </c:pt>
                <c:pt idx="759">
                  <c:v>24.110001</c:v>
                </c:pt>
                <c:pt idx="760">
                  <c:v>24.120000999999998</c:v>
                </c:pt>
                <c:pt idx="761">
                  <c:v>24.610001</c:v>
                </c:pt>
                <c:pt idx="762">
                  <c:v>24.959999</c:v>
                </c:pt>
                <c:pt idx="763">
                  <c:v>25.049999</c:v>
                </c:pt>
                <c:pt idx="764">
                  <c:v>25.25</c:v>
                </c:pt>
                <c:pt idx="765">
                  <c:v>25.82</c:v>
                </c:pt>
                <c:pt idx="766">
                  <c:v>27.35</c:v>
                </c:pt>
                <c:pt idx="767">
                  <c:v>27.07</c:v>
                </c:pt>
                <c:pt idx="768">
                  <c:v>26.790001</c:v>
                </c:pt>
                <c:pt idx="769">
                  <c:v>26.889999</c:v>
                </c:pt>
                <c:pt idx="770">
                  <c:v>27.09</c:v>
                </c:pt>
                <c:pt idx="771">
                  <c:v>26.459999</c:v>
                </c:pt>
                <c:pt idx="772">
                  <c:v>26.309999000000001</c:v>
                </c:pt>
                <c:pt idx="773">
                  <c:v>26.620000999999998</c:v>
                </c:pt>
                <c:pt idx="774">
                  <c:v>26.42</c:v>
                </c:pt>
                <c:pt idx="775">
                  <c:v>26.93</c:v>
                </c:pt>
                <c:pt idx="776">
                  <c:v>26.549999</c:v>
                </c:pt>
                <c:pt idx="777">
                  <c:v>26.01</c:v>
                </c:pt>
                <c:pt idx="778">
                  <c:v>26.34</c:v>
                </c:pt>
                <c:pt idx="779">
                  <c:v>26.790001</c:v>
                </c:pt>
                <c:pt idx="780">
                  <c:v>27.43</c:v>
                </c:pt>
                <c:pt idx="781">
                  <c:v>27.620000999999998</c:v>
                </c:pt>
                <c:pt idx="782">
                  <c:v>28.049999</c:v>
                </c:pt>
                <c:pt idx="783">
                  <c:v>28.280000999999999</c:v>
                </c:pt>
                <c:pt idx="784">
                  <c:v>28.309999000000001</c:v>
                </c:pt>
                <c:pt idx="785">
                  <c:v>28.52</c:v>
                </c:pt>
                <c:pt idx="786">
                  <c:v>27.75</c:v>
                </c:pt>
                <c:pt idx="787">
                  <c:v>27.799999</c:v>
                </c:pt>
                <c:pt idx="788">
                  <c:v>27.98</c:v>
                </c:pt>
                <c:pt idx="789">
                  <c:v>28.5</c:v>
                </c:pt>
                <c:pt idx="790">
                  <c:v>29.49</c:v>
                </c:pt>
                <c:pt idx="791">
                  <c:v>30.049999</c:v>
                </c:pt>
                <c:pt idx="792">
                  <c:v>29.879999000000002</c:v>
                </c:pt>
                <c:pt idx="793">
                  <c:v>29.68</c:v>
                </c:pt>
                <c:pt idx="794">
                  <c:v>29.77</c:v>
                </c:pt>
                <c:pt idx="795">
                  <c:v>29.940000999999999</c:v>
                </c:pt>
                <c:pt idx="796">
                  <c:v>29.08</c:v>
                </c:pt>
                <c:pt idx="797">
                  <c:v>29.35</c:v>
                </c:pt>
                <c:pt idx="798">
                  <c:v>30.209999</c:v>
                </c:pt>
                <c:pt idx="799">
                  <c:v>30.83</c:v>
                </c:pt>
                <c:pt idx="800">
                  <c:v>28.74</c:v>
                </c:pt>
                <c:pt idx="801">
                  <c:v>28.84</c:v>
                </c:pt>
                <c:pt idx="802">
                  <c:v>29.450001</c:v>
                </c:pt>
                <c:pt idx="803">
                  <c:v>29.24</c:v>
                </c:pt>
                <c:pt idx="804">
                  <c:v>29.639999</c:v>
                </c:pt>
                <c:pt idx="805">
                  <c:v>29.17</c:v>
                </c:pt>
                <c:pt idx="806">
                  <c:v>28.370000999999998</c:v>
                </c:pt>
                <c:pt idx="807">
                  <c:v>28.57</c:v>
                </c:pt>
                <c:pt idx="808">
                  <c:v>29.27</c:v>
                </c:pt>
                <c:pt idx="809">
                  <c:v>27.82</c:v>
                </c:pt>
                <c:pt idx="810">
                  <c:v>27.67</c:v>
                </c:pt>
                <c:pt idx="811">
                  <c:v>28.27</c:v>
                </c:pt>
                <c:pt idx="812">
                  <c:v>26.889999</c:v>
                </c:pt>
                <c:pt idx="813">
                  <c:v>27.139999</c:v>
                </c:pt>
                <c:pt idx="814">
                  <c:v>27.120000999999998</c:v>
                </c:pt>
                <c:pt idx="815">
                  <c:v>28.09</c:v>
                </c:pt>
                <c:pt idx="816">
                  <c:v>28.43</c:v>
                </c:pt>
                <c:pt idx="817">
                  <c:v>28.809999000000001</c:v>
                </c:pt>
                <c:pt idx="818">
                  <c:v>28.74</c:v>
                </c:pt>
                <c:pt idx="819">
                  <c:v>29.42</c:v>
                </c:pt>
                <c:pt idx="820">
                  <c:v>29.059999000000001</c:v>
                </c:pt>
                <c:pt idx="821">
                  <c:v>28.719999000000001</c:v>
                </c:pt>
                <c:pt idx="822">
                  <c:v>29.59</c:v>
                </c:pt>
                <c:pt idx="823">
                  <c:v>29.35</c:v>
                </c:pt>
                <c:pt idx="824">
                  <c:v>29.77</c:v>
                </c:pt>
                <c:pt idx="825">
                  <c:v>29.030000999999999</c:v>
                </c:pt>
                <c:pt idx="826">
                  <c:v>28.959999</c:v>
                </c:pt>
                <c:pt idx="827">
                  <c:v>29.120000999999998</c:v>
                </c:pt>
                <c:pt idx="828">
                  <c:v>28.469999000000001</c:v>
                </c:pt>
                <c:pt idx="829">
                  <c:v>28.68</c:v>
                </c:pt>
                <c:pt idx="830">
                  <c:v>27.799999</c:v>
                </c:pt>
                <c:pt idx="831">
                  <c:v>29.190000999999999</c:v>
                </c:pt>
                <c:pt idx="832">
                  <c:v>28.48</c:v>
                </c:pt>
                <c:pt idx="833">
                  <c:v>28.389999</c:v>
                </c:pt>
                <c:pt idx="834">
                  <c:v>29.280000999999999</c:v>
                </c:pt>
                <c:pt idx="835">
                  <c:v>31.440000999999999</c:v>
                </c:pt>
                <c:pt idx="836">
                  <c:v>33.619999</c:v>
                </c:pt>
                <c:pt idx="837">
                  <c:v>33.590000000000003</c:v>
                </c:pt>
                <c:pt idx="838">
                  <c:v>31.49</c:v>
                </c:pt>
                <c:pt idx="839">
                  <c:v>30.889999</c:v>
                </c:pt>
                <c:pt idx="840">
                  <c:v>32.330002</c:v>
                </c:pt>
                <c:pt idx="841">
                  <c:v>31.01</c:v>
                </c:pt>
                <c:pt idx="842">
                  <c:v>31.139999</c:v>
                </c:pt>
                <c:pt idx="843">
                  <c:v>31.469999000000001</c:v>
                </c:pt>
                <c:pt idx="844">
                  <c:v>31.01</c:v>
                </c:pt>
                <c:pt idx="845">
                  <c:v>31.25</c:v>
                </c:pt>
                <c:pt idx="846">
                  <c:v>31.93</c:v>
                </c:pt>
                <c:pt idx="847">
                  <c:v>32.049999</c:v>
                </c:pt>
                <c:pt idx="848">
                  <c:v>32.110000999999997</c:v>
                </c:pt>
                <c:pt idx="849">
                  <c:v>32.610000999999997</c:v>
                </c:pt>
                <c:pt idx="850">
                  <c:v>32.68</c:v>
                </c:pt>
                <c:pt idx="851">
                  <c:v>32.849997999999999</c:v>
                </c:pt>
                <c:pt idx="852">
                  <c:v>32.369999</c:v>
                </c:pt>
                <c:pt idx="853">
                  <c:v>32.220001000000003</c:v>
                </c:pt>
                <c:pt idx="854">
                  <c:v>31.98</c:v>
                </c:pt>
                <c:pt idx="855">
                  <c:v>31.98</c:v>
                </c:pt>
                <c:pt idx="856">
                  <c:v>32.439999</c:v>
                </c:pt>
                <c:pt idx="857">
                  <c:v>32.090000000000003</c:v>
                </c:pt>
                <c:pt idx="858">
                  <c:v>32.220001000000003</c:v>
                </c:pt>
                <c:pt idx="859">
                  <c:v>33.060001</c:v>
                </c:pt>
                <c:pt idx="860">
                  <c:v>33.729999999999997</c:v>
                </c:pt>
                <c:pt idx="861">
                  <c:v>34.75</c:v>
                </c:pt>
                <c:pt idx="862">
                  <c:v>33.529998999999997</c:v>
                </c:pt>
                <c:pt idx="863">
                  <c:v>32.57</c:v>
                </c:pt>
                <c:pt idx="864">
                  <c:v>32.32</c:v>
                </c:pt>
                <c:pt idx="865">
                  <c:v>32.099997999999999</c:v>
                </c:pt>
                <c:pt idx="866">
                  <c:v>31.49</c:v>
                </c:pt>
                <c:pt idx="867">
                  <c:v>32.610000999999997</c:v>
                </c:pt>
                <c:pt idx="868">
                  <c:v>32.509998000000003</c:v>
                </c:pt>
                <c:pt idx="869">
                  <c:v>32.139999000000003</c:v>
                </c:pt>
                <c:pt idx="870">
                  <c:v>31.34</c:v>
                </c:pt>
                <c:pt idx="871">
                  <c:v>31.58</c:v>
                </c:pt>
                <c:pt idx="872">
                  <c:v>30.5</c:v>
                </c:pt>
                <c:pt idx="873">
                  <c:v>30.059999000000001</c:v>
                </c:pt>
                <c:pt idx="874">
                  <c:v>29.799999</c:v>
                </c:pt>
                <c:pt idx="875">
                  <c:v>29.799999</c:v>
                </c:pt>
                <c:pt idx="876">
                  <c:v>30.280000999999999</c:v>
                </c:pt>
                <c:pt idx="877">
                  <c:v>30.75</c:v>
                </c:pt>
                <c:pt idx="878">
                  <c:v>31.35</c:v>
                </c:pt>
                <c:pt idx="879">
                  <c:v>23.75</c:v>
                </c:pt>
                <c:pt idx="880">
                  <c:v>23.950001</c:v>
                </c:pt>
                <c:pt idx="881">
                  <c:v>24.91</c:v>
                </c:pt>
                <c:pt idx="882">
                  <c:v>25.66</c:v>
                </c:pt>
                <c:pt idx="883">
                  <c:v>24.200001</c:v>
                </c:pt>
                <c:pt idx="884">
                  <c:v>24.48</c:v>
                </c:pt>
                <c:pt idx="885">
                  <c:v>24.940000999999999</c:v>
                </c:pt>
                <c:pt idx="886">
                  <c:v>24.540001</c:v>
                </c:pt>
                <c:pt idx="887">
                  <c:v>24.42</c:v>
                </c:pt>
                <c:pt idx="888">
                  <c:v>22.98</c:v>
                </c:pt>
                <c:pt idx="889">
                  <c:v>22.99</c:v>
                </c:pt>
                <c:pt idx="890">
                  <c:v>23.51</c:v>
                </c:pt>
                <c:pt idx="891">
                  <c:v>23.620000999999998</c:v>
                </c:pt>
                <c:pt idx="892">
                  <c:v>24.690000999999999</c:v>
                </c:pt>
                <c:pt idx="893">
                  <c:v>25.16</c:v>
                </c:pt>
                <c:pt idx="894">
                  <c:v>26.15</c:v>
                </c:pt>
                <c:pt idx="895">
                  <c:v>26.719999000000001</c:v>
                </c:pt>
                <c:pt idx="896">
                  <c:v>27.09</c:v>
                </c:pt>
                <c:pt idx="897">
                  <c:v>26.73</c:v>
                </c:pt>
                <c:pt idx="898">
                  <c:v>27.219999000000001</c:v>
                </c:pt>
                <c:pt idx="899">
                  <c:v>27.370000999999998</c:v>
                </c:pt>
                <c:pt idx="900">
                  <c:v>27.190000999999999</c:v>
                </c:pt>
                <c:pt idx="901">
                  <c:v>27.01</c:v>
                </c:pt>
                <c:pt idx="902">
                  <c:v>25.809999000000001</c:v>
                </c:pt>
                <c:pt idx="903">
                  <c:v>25.26</c:v>
                </c:pt>
                <c:pt idx="904">
                  <c:v>25.139999</c:v>
                </c:pt>
                <c:pt idx="905">
                  <c:v>25.129999000000002</c:v>
                </c:pt>
                <c:pt idx="906">
                  <c:v>25.370000999999998</c:v>
                </c:pt>
                <c:pt idx="907">
                  <c:v>26.42</c:v>
                </c:pt>
                <c:pt idx="908">
                  <c:v>26.450001</c:v>
                </c:pt>
                <c:pt idx="909">
                  <c:v>24.940000999999999</c:v>
                </c:pt>
                <c:pt idx="910">
                  <c:v>25.969999000000001</c:v>
                </c:pt>
                <c:pt idx="911">
                  <c:v>25.43</c:v>
                </c:pt>
                <c:pt idx="912">
                  <c:v>25.17</c:v>
                </c:pt>
                <c:pt idx="913">
                  <c:v>25.74</c:v>
                </c:pt>
                <c:pt idx="914">
                  <c:v>25.860001</c:v>
                </c:pt>
                <c:pt idx="915">
                  <c:v>25.459999</c:v>
                </c:pt>
                <c:pt idx="916">
                  <c:v>25.620000999999998</c:v>
                </c:pt>
                <c:pt idx="917">
                  <c:v>25.32</c:v>
                </c:pt>
                <c:pt idx="918">
                  <c:v>25.719999000000001</c:v>
                </c:pt>
                <c:pt idx="919">
                  <c:v>25.42</c:v>
                </c:pt>
                <c:pt idx="920">
                  <c:v>26.139999</c:v>
                </c:pt>
                <c:pt idx="921">
                  <c:v>27.09</c:v>
                </c:pt>
                <c:pt idx="922">
                  <c:v>26.93</c:v>
                </c:pt>
                <c:pt idx="923">
                  <c:v>26.51</c:v>
                </c:pt>
                <c:pt idx="924">
                  <c:v>26.530000999999999</c:v>
                </c:pt>
                <c:pt idx="925">
                  <c:v>26.92</c:v>
                </c:pt>
                <c:pt idx="926">
                  <c:v>26.76</c:v>
                </c:pt>
                <c:pt idx="927">
                  <c:v>27.440000999999999</c:v>
                </c:pt>
                <c:pt idx="928">
                  <c:v>27.209999</c:v>
                </c:pt>
                <c:pt idx="929">
                  <c:v>27.190000999999999</c:v>
                </c:pt>
                <c:pt idx="930">
                  <c:v>27.18</c:v>
                </c:pt>
                <c:pt idx="931">
                  <c:v>27.07</c:v>
                </c:pt>
                <c:pt idx="932">
                  <c:v>27.610001</c:v>
                </c:pt>
                <c:pt idx="933">
                  <c:v>27.299999</c:v>
                </c:pt>
                <c:pt idx="934">
                  <c:v>26.959999</c:v>
                </c:pt>
                <c:pt idx="935">
                  <c:v>27.35</c:v>
                </c:pt>
                <c:pt idx="936">
                  <c:v>27.459999</c:v>
                </c:pt>
                <c:pt idx="937">
                  <c:v>27.639999</c:v>
                </c:pt>
                <c:pt idx="938">
                  <c:v>27.549999</c:v>
                </c:pt>
                <c:pt idx="939">
                  <c:v>27</c:v>
                </c:pt>
                <c:pt idx="940">
                  <c:v>27.17</c:v>
                </c:pt>
                <c:pt idx="941">
                  <c:v>30.83</c:v>
                </c:pt>
                <c:pt idx="942">
                  <c:v>30.280000999999999</c:v>
                </c:pt>
                <c:pt idx="943">
                  <c:v>30.07</c:v>
                </c:pt>
                <c:pt idx="944">
                  <c:v>29.82</c:v>
                </c:pt>
                <c:pt idx="945">
                  <c:v>30.120000999999998</c:v>
                </c:pt>
                <c:pt idx="946">
                  <c:v>29.1</c:v>
                </c:pt>
                <c:pt idx="947">
                  <c:v>29.190000999999999</c:v>
                </c:pt>
                <c:pt idx="948">
                  <c:v>29.690000999999999</c:v>
                </c:pt>
                <c:pt idx="949">
                  <c:v>30.58</c:v>
                </c:pt>
                <c:pt idx="950">
                  <c:v>30.33</c:v>
                </c:pt>
                <c:pt idx="951">
                  <c:v>31.190000999999999</c:v>
                </c:pt>
                <c:pt idx="952">
                  <c:v>31.299999</c:v>
                </c:pt>
                <c:pt idx="953">
                  <c:v>31.530000999999999</c:v>
                </c:pt>
                <c:pt idx="954">
                  <c:v>30.360001</c:v>
                </c:pt>
                <c:pt idx="955">
                  <c:v>30.450001</c:v>
                </c:pt>
                <c:pt idx="956">
                  <c:v>30.24</c:v>
                </c:pt>
                <c:pt idx="957">
                  <c:v>29.690000999999999</c:v>
                </c:pt>
                <c:pt idx="958">
                  <c:v>29.450001</c:v>
                </c:pt>
                <c:pt idx="959">
                  <c:v>28.75</c:v>
                </c:pt>
                <c:pt idx="960">
                  <c:v>28.9</c:v>
                </c:pt>
                <c:pt idx="961">
                  <c:v>29.08</c:v>
                </c:pt>
                <c:pt idx="962">
                  <c:v>28.73</c:v>
                </c:pt>
                <c:pt idx="963">
                  <c:v>29.24</c:v>
                </c:pt>
                <c:pt idx="964">
                  <c:v>29.73</c:v>
                </c:pt>
                <c:pt idx="965">
                  <c:v>29.51</c:v>
                </c:pt>
                <c:pt idx="966">
                  <c:v>30.629999000000002</c:v>
                </c:pt>
                <c:pt idx="967">
                  <c:v>30.190000999999999</c:v>
                </c:pt>
                <c:pt idx="968">
                  <c:v>28.76</c:v>
                </c:pt>
                <c:pt idx="969">
                  <c:v>28.389999</c:v>
                </c:pt>
                <c:pt idx="970">
                  <c:v>27.639999</c:v>
                </c:pt>
                <c:pt idx="971">
                  <c:v>27.860001</c:v>
                </c:pt>
                <c:pt idx="972">
                  <c:v>27.77</c:v>
                </c:pt>
                <c:pt idx="973">
                  <c:v>27.360001</c:v>
                </c:pt>
                <c:pt idx="974">
                  <c:v>27.24</c:v>
                </c:pt>
                <c:pt idx="975">
                  <c:v>27.440000999999999</c:v>
                </c:pt>
                <c:pt idx="976">
                  <c:v>27.77</c:v>
                </c:pt>
                <c:pt idx="977">
                  <c:v>27.110001</c:v>
                </c:pt>
                <c:pt idx="978">
                  <c:v>27.07</c:v>
                </c:pt>
                <c:pt idx="979">
                  <c:v>28.58</c:v>
                </c:pt>
                <c:pt idx="980">
                  <c:v>28.030000999999999</c:v>
                </c:pt>
                <c:pt idx="981">
                  <c:v>27.75</c:v>
                </c:pt>
                <c:pt idx="982">
                  <c:v>27.75</c:v>
                </c:pt>
                <c:pt idx="983">
                  <c:v>28.129999000000002</c:v>
                </c:pt>
                <c:pt idx="984">
                  <c:v>27.09</c:v>
                </c:pt>
                <c:pt idx="985">
                  <c:v>27.049999</c:v>
                </c:pt>
                <c:pt idx="986">
                  <c:v>26.709999</c:v>
                </c:pt>
                <c:pt idx="987">
                  <c:v>27.700001</c:v>
                </c:pt>
                <c:pt idx="988">
                  <c:v>28.299999</c:v>
                </c:pt>
                <c:pt idx="989">
                  <c:v>27.540001</c:v>
                </c:pt>
                <c:pt idx="990">
                  <c:v>28.76</c:v>
                </c:pt>
                <c:pt idx="991">
                  <c:v>26.969999000000001</c:v>
                </c:pt>
                <c:pt idx="992">
                  <c:v>27.85</c:v>
                </c:pt>
                <c:pt idx="993">
                  <c:v>27.91</c:v>
                </c:pt>
                <c:pt idx="994">
                  <c:v>27.959999</c:v>
                </c:pt>
                <c:pt idx="995">
                  <c:v>26.360001</c:v>
                </c:pt>
                <c:pt idx="996">
                  <c:v>27.17</c:v>
                </c:pt>
                <c:pt idx="997">
                  <c:v>26.99</c:v>
                </c:pt>
                <c:pt idx="998">
                  <c:v>27.5</c:v>
                </c:pt>
                <c:pt idx="999">
                  <c:v>28.459999</c:v>
                </c:pt>
                <c:pt idx="1000">
                  <c:v>28.549999</c:v>
                </c:pt>
                <c:pt idx="1001">
                  <c:v>29.709999</c:v>
                </c:pt>
                <c:pt idx="1002">
                  <c:v>29.5</c:v>
                </c:pt>
                <c:pt idx="1003">
                  <c:v>28.73</c:v>
                </c:pt>
                <c:pt idx="1004">
                  <c:v>28.790001</c:v>
                </c:pt>
                <c:pt idx="1005">
                  <c:v>29.01</c:v>
                </c:pt>
                <c:pt idx="1006">
                  <c:v>28.870000999999998</c:v>
                </c:pt>
                <c:pt idx="1007">
                  <c:v>28.83</c:v>
                </c:pt>
                <c:pt idx="1008">
                  <c:v>28.67</c:v>
                </c:pt>
                <c:pt idx="1009">
                  <c:v>32.159999999999997</c:v>
                </c:pt>
                <c:pt idx="1010">
                  <c:v>33.549999</c:v>
                </c:pt>
                <c:pt idx="1011">
                  <c:v>33.099997999999999</c:v>
                </c:pt>
                <c:pt idx="1012">
                  <c:v>33.630001</c:v>
                </c:pt>
                <c:pt idx="1013">
                  <c:v>33.450001</c:v>
                </c:pt>
                <c:pt idx="1014">
                  <c:v>33.840000000000003</c:v>
                </c:pt>
                <c:pt idx="1015">
                  <c:v>32.580002</c:v>
                </c:pt>
                <c:pt idx="1016">
                  <c:v>32.860000999999997</c:v>
                </c:pt>
                <c:pt idx="1017">
                  <c:v>32.630001</c:v>
                </c:pt>
                <c:pt idx="1018">
                  <c:v>33.020000000000003</c:v>
                </c:pt>
                <c:pt idx="1019">
                  <c:v>32.779998999999997</c:v>
                </c:pt>
                <c:pt idx="1020">
                  <c:v>33.389999000000003</c:v>
                </c:pt>
                <c:pt idx="1021">
                  <c:v>33.830002</c:v>
                </c:pt>
                <c:pt idx="1022">
                  <c:v>33.509998000000003</c:v>
                </c:pt>
                <c:pt idx="1023">
                  <c:v>34.330002</c:v>
                </c:pt>
                <c:pt idx="1024">
                  <c:v>34.110000999999997</c:v>
                </c:pt>
                <c:pt idx="1025">
                  <c:v>34.520000000000003</c:v>
                </c:pt>
                <c:pt idx="1026">
                  <c:v>33.75</c:v>
                </c:pt>
                <c:pt idx="1027">
                  <c:v>33.919998</c:v>
                </c:pt>
                <c:pt idx="1028">
                  <c:v>33.75</c:v>
                </c:pt>
                <c:pt idx="1029">
                  <c:v>34.639999000000003</c:v>
                </c:pt>
                <c:pt idx="1030">
                  <c:v>33.75</c:v>
                </c:pt>
                <c:pt idx="1031">
                  <c:v>33.979999999999997</c:v>
                </c:pt>
                <c:pt idx="1032">
                  <c:v>34.159999999999997</c:v>
                </c:pt>
                <c:pt idx="1033">
                  <c:v>34.060001</c:v>
                </c:pt>
                <c:pt idx="1034">
                  <c:v>33.400002000000001</c:v>
                </c:pt>
                <c:pt idx="1035">
                  <c:v>33.479999999999997</c:v>
                </c:pt>
                <c:pt idx="1036">
                  <c:v>33.119999</c:v>
                </c:pt>
                <c:pt idx="1037">
                  <c:v>33.310001</c:v>
                </c:pt>
                <c:pt idx="1038">
                  <c:v>33.790000999999997</c:v>
                </c:pt>
                <c:pt idx="1039">
                  <c:v>33.369999</c:v>
                </c:pt>
                <c:pt idx="1040">
                  <c:v>33.709999000000003</c:v>
                </c:pt>
                <c:pt idx="1041">
                  <c:v>33.270000000000003</c:v>
                </c:pt>
                <c:pt idx="1042">
                  <c:v>32.529998999999997</c:v>
                </c:pt>
                <c:pt idx="1043">
                  <c:v>32.619999</c:v>
                </c:pt>
                <c:pt idx="1044">
                  <c:v>32.369999</c:v>
                </c:pt>
                <c:pt idx="1045">
                  <c:v>30.92</c:v>
                </c:pt>
                <c:pt idx="1046">
                  <c:v>30.940000999999999</c:v>
                </c:pt>
                <c:pt idx="1047">
                  <c:v>30.68</c:v>
                </c:pt>
                <c:pt idx="1048">
                  <c:v>31.709999</c:v>
                </c:pt>
                <c:pt idx="1049">
                  <c:v>31.370000999999998</c:v>
                </c:pt>
                <c:pt idx="1050">
                  <c:v>32.090000000000003</c:v>
                </c:pt>
                <c:pt idx="1051">
                  <c:v>31.82</c:v>
                </c:pt>
                <c:pt idx="1052">
                  <c:v>32.130001</c:v>
                </c:pt>
                <c:pt idx="1053">
                  <c:v>32</c:v>
                </c:pt>
                <c:pt idx="1054">
                  <c:v>31.73</c:v>
                </c:pt>
                <c:pt idx="1055">
                  <c:v>31.139999</c:v>
                </c:pt>
                <c:pt idx="1056">
                  <c:v>30.120000999999998</c:v>
                </c:pt>
                <c:pt idx="1057">
                  <c:v>31.200001</c:v>
                </c:pt>
                <c:pt idx="1058">
                  <c:v>31.389999</c:v>
                </c:pt>
                <c:pt idx="1059">
                  <c:v>30.889999</c:v>
                </c:pt>
                <c:pt idx="1060">
                  <c:v>31.4</c:v>
                </c:pt>
                <c:pt idx="1061">
                  <c:v>31.969999000000001</c:v>
                </c:pt>
                <c:pt idx="1062">
                  <c:v>32.209999000000003</c:v>
                </c:pt>
                <c:pt idx="1063">
                  <c:v>31.67</c:v>
                </c:pt>
                <c:pt idx="1064">
                  <c:v>31.950001</c:v>
                </c:pt>
                <c:pt idx="1065">
                  <c:v>32.060001</c:v>
                </c:pt>
                <c:pt idx="1066">
                  <c:v>32.630001</c:v>
                </c:pt>
                <c:pt idx="1067">
                  <c:v>32.669998</c:v>
                </c:pt>
                <c:pt idx="1068">
                  <c:v>32.409999999999997</c:v>
                </c:pt>
                <c:pt idx="1069">
                  <c:v>32.549999</c:v>
                </c:pt>
                <c:pt idx="1070">
                  <c:v>32.200001</c:v>
                </c:pt>
                <c:pt idx="1071">
                  <c:v>32.439999</c:v>
                </c:pt>
                <c:pt idx="1072">
                  <c:v>32.580002</c:v>
                </c:pt>
                <c:pt idx="1073">
                  <c:v>32.950001</c:v>
                </c:pt>
                <c:pt idx="1074">
                  <c:v>32.159999999999997</c:v>
                </c:pt>
                <c:pt idx="1075">
                  <c:v>32.700001</c:v>
                </c:pt>
                <c:pt idx="1076">
                  <c:v>32.889999000000003</c:v>
                </c:pt>
                <c:pt idx="1077">
                  <c:v>33.040000999999997</c:v>
                </c:pt>
                <c:pt idx="1078">
                  <c:v>31.65</c:v>
                </c:pt>
                <c:pt idx="1079">
                  <c:v>31.92</c:v>
                </c:pt>
                <c:pt idx="1080">
                  <c:v>31.370000999999998</c:v>
                </c:pt>
                <c:pt idx="1081">
                  <c:v>30.620000999999998</c:v>
                </c:pt>
                <c:pt idx="1082">
                  <c:v>30.93</c:v>
                </c:pt>
                <c:pt idx="1083">
                  <c:v>30.290001</c:v>
                </c:pt>
                <c:pt idx="1084">
                  <c:v>30.799999</c:v>
                </c:pt>
                <c:pt idx="1085">
                  <c:v>34.799999</c:v>
                </c:pt>
                <c:pt idx="1086">
                  <c:v>34.099997999999999</c:v>
                </c:pt>
                <c:pt idx="1087">
                  <c:v>33.240001999999997</c:v>
                </c:pt>
                <c:pt idx="1088">
                  <c:v>33.139999000000003</c:v>
                </c:pt>
                <c:pt idx="1089">
                  <c:v>33.080002</c:v>
                </c:pt>
                <c:pt idx="1090">
                  <c:v>33.520000000000003</c:v>
                </c:pt>
                <c:pt idx="1091">
                  <c:v>33.029998999999997</c:v>
                </c:pt>
                <c:pt idx="1092">
                  <c:v>32.790000999999997</c:v>
                </c:pt>
                <c:pt idx="1093">
                  <c:v>32.950001</c:v>
                </c:pt>
                <c:pt idx="1094">
                  <c:v>33.5</c:v>
                </c:pt>
                <c:pt idx="1095">
                  <c:v>33.279998999999997</c:v>
                </c:pt>
                <c:pt idx="1096">
                  <c:v>32.310001</c:v>
                </c:pt>
                <c:pt idx="1097">
                  <c:v>32.720001000000003</c:v>
                </c:pt>
                <c:pt idx="1098">
                  <c:v>33.270000000000003</c:v>
                </c:pt>
                <c:pt idx="1099">
                  <c:v>32.340000000000003</c:v>
                </c:pt>
                <c:pt idx="1100">
                  <c:v>32.770000000000003</c:v>
                </c:pt>
                <c:pt idx="1101">
                  <c:v>33.279998999999997</c:v>
                </c:pt>
                <c:pt idx="1102">
                  <c:v>34.080002</c:v>
                </c:pt>
                <c:pt idx="1103">
                  <c:v>34.290000999999997</c:v>
                </c:pt>
                <c:pt idx="1104">
                  <c:v>34.040000999999997</c:v>
                </c:pt>
                <c:pt idx="1105">
                  <c:v>34.490001999999997</c:v>
                </c:pt>
                <c:pt idx="1106">
                  <c:v>35.029998999999997</c:v>
                </c:pt>
                <c:pt idx="1107">
                  <c:v>35.259998000000003</c:v>
                </c:pt>
                <c:pt idx="1108">
                  <c:v>34.900002000000001</c:v>
                </c:pt>
                <c:pt idx="1109">
                  <c:v>34.340000000000003</c:v>
                </c:pt>
                <c:pt idx="1110">
                  <c:v>34.639999000000003</c:v>
                </c:pt>
                <c:pt idx="1111">
                  <c:v>34.450001</c:v>
                </c:pt>
                <c:pt idx="1112">
                  <c:v>34.439999</c:v>
                </c:pt>
                <c:pt idx="1113">
                  <c:v>34.400002000000001</c:v>
                </c:pt>
                <c:pt idx="1114">
                  <c:v>34.18</c:v>
                </c:pt>
                <c:pt idx="1115">
                  <c:v>33.130001</c:v>
                </c:pt>
                <c:pt idx="1116">
                  <c:v>33.770000000000003</c:v>
                </c:pt>
                <c:pt idx="1117">
                  <c:v>33.43</c:v>
                </c:pt>
                <c:pt idx="1118">
                  <c:v>33.200001</c:v>
                </c:pt>
                <c:pt idx="1119">
                  <c:v>32.709999000000003</c:v>
                </c:pt>
                <c:pt idx="1120">
                  <c:v>33.110000999999997</c:v>
                </c:pt>
                <c:pt idx="1121">
                  <c:v>34.150002000000001</c:v>
                </c:pt>
                <c:pt idx="1122">
                  <c:v>33.450001</c:v>
                </c:pt>
                <c:pt idx="1123">
                  <c:v>34.090000000000003</c:v>
                </c:pt>
                <c:pt idx="1124">
                  <c:v>34.950001</c:v>
                </c:pt>
                <c:pt idx="1125">
                  <c:v>34.659999999999997</c:v>
                </c:pt>
                <c:pt idx="1126">
                  <c:v>35.020000000000003</c:v>
                </c:pt>
                <c:pt idx="1127">
                  <c:v>37.860000999999997</c:v>
                </c:pt>
                <c:pt idx="1128">
                  <c:v>36.040000999999997</c:v>
                </c:pt>
                <c:pt idx="1129">
                  <c:v>36.32</c:v>
                </c:pt>
                <c:pt idx="1130">
                  <c:v>36.419998</c:v>
                </c:pt>
                <c:pt idx="1131">
                  <c:v>35.880001</c:v>
                </c:pt>
                <c:pt idx="1132">
                  <c:v>36.259998000000003</c:v>
                </c:pt>
                <c:pt idx="1133">
                  <c:v>36.529998999999997</c:v>
                </c:pt>
                <c:pt idx="1134">
                  <c:v>36.759998000000003</c:v>
                </c:pt>
                <c:pt idx="1135">
                  <c:v>37.349997999999999</c:v>
                </c:pt>
                <c:pt idx="1136">
                  <c:v>36.279998999999997</c:v>
                </c:pt>
                <c:pt idx="1137">
                  <c:v>36.259998000000003</c:v>
                </c:pt>
                <c:pt idx="1138">
                  <c:v>36.209999000000003</c:v>
                </c:pt>
                <c:pt idx="1139">
                  <c:v>36.189999</c:v>
                </c:pt>
                <c:pt idx="1140">
                  <c:v>36.779998999999997</c:v>
                </c:pt>
                <c:pt idx="1141">
                  <c:v>35.939999</c:v>
                </c:pt>
                <c:pt idx="1142">
                  <c:v>36.060001</c:v>
                </c:pt>
                <c:pt idx="1143">
                  <c:v>36.200001</c:v>
                </c:pt>
                <c:pt idx="1144">
                  <c:v>36.090000000000003</c:v>
                </c:pt>
                <c:pt idx="1145">
                  <c:v>35.939999</c:v>
                </c:pt>
                <c:pt idx="1146">
                  <c:v>35.330002</c:v>
                </c:pt>
                <c:pt idx="1147">
                  <c:v>34.560001</c:v>
                </c:pt>
                <c:pt idx="1148">
                  <c:v>32.779998999999997</c:v>
                </c:pt>
                <c:pt idx="1149">
                  <c:v>33.060001</c:v>
                </c:pt>
                <c:pt idx="1150">
                  <c:v>32.630001</c:v>
                </c:pt>
                <c:pt idx="1151">
                  <c:v>32.990001999999997</c:v>
                </c:pt>
                <c:pt idx="1152">
                  <c:v>33.689999</c:v>
                </c:pt>
                <c:pt idx="1153">
                  <c:v>33.729999999999997</c:v>
                </c:pt>
                <c:pt idx="1154">
                  <c:v>33.909999999999997</c:v>
                </c:pt>
                <c:pt idx="1155">
                  <c:v>34.209999000000003</c:v>
                </c:pt>
                <c:pt idx="1156">
                  <c:v>34.849997999999999</c:v>
                </c:pt>
                <c:pt idx="1157">
                  <c:v>35.279998999999997</c:v>
                </c:pt>
                <c:pt idx="1158">
                  <c:v>34.810001</c:v>
                </c:pt>
                <c:pt idx="1159">
                  <c:v>33.799999</c:v>
                </c:pt>
                <c:pt idx="1160">
                  <c:v>33.099997999999999</c:v>
                </c:pt>
                <c:pt idx="1161">
                  <c:v>33.189999</c:v>
                </c:pt>
                <c:pt idx="1162">
                  <c:v>34.599997999999999</c:v>
                </c:pt>
                <c:pt idx="1163">
                  <c:v>34.490001999999997</c:v>
                </c:pt>
                <c:pt idx="1164">
                  <c:v>35.040000999999997</c:v>
                </c:pt>
                <c:pt idx="1165">
                  <c:v>35.639999000000003</c:v>
                </c:pt>
                <c:pt idx="1166">
                  <c:v>35.979999999999997</c:v>
                </c:pt>
                <c:pt idx="1167">
                  <c:v>36.279998999999997</c:v>
                </c:pt>
                <c:pt idx="1168">
                  <c:v>36.729999999999997</c:v>
                </c:pt>
                <c:pt idx="1169">
                  <c:v>36.689999</c:v>
                </c:pt>
                <c:pt idx="1170">
                  <c:v>37.150002000000001</c:v>
                </c:pt>
                <c:pt idx="1171">
                  <c:v>36.669998</c:v>
                </c:pt>
                <c:pt idx="1172">
                  <c:v>37.029998999999997</c:v>
                </c:pt>
                <c:pt idx="1173">
                  <c:v>37.490001999999997</c:v>
                </c:pt>
                <c:pt idx="1174">
                  <c:v>38.259998000000003</c:v>
                </c:pt>
                <c:pt idx="1175">
                  <c:v>37.970001000000003</c:v>
                </c:pt>
                <c:pt idx="1176">
                  <c:v>38.259998000000003</c:v>
                </c:pt>
                <c:pt idx="1177">
                  <c:v>37.630001</c:v>
                </c:pt>
                <c:pt idx="1178">
                  <c:v>37.959999000000003</c:v>
                </c:pt>
                <c:pt idx="1179">
                  <c:v>38.520000000000003</c:v>
                </c:pt>
                <c:pt idx="1180">
                  <c:v>38.939999</c:v>
                </c:pt>
                <c:pt idx="1181">
                  <c:v>39.840000000000003</c:v>
                </c:pt>
                <c:pt idx="1182">
                  <c:v>40.07</c:v>
                </c:pt>
                <c:pt idx="1183">
                  <c:v>39.959999000000003</c:v>
                </c:pt>
                <c:pt idx="1184">
                  <c:v>39.200001</c:v>
                </c:pt>
                <c:pt idx="1185">
                  <c:v>38.770000000000003</c:v>
                </c:pt>
                <c:pt idx="1186">
                  <c:v>39.229999999999997</c:v>
                </c:pt>
                <c:pt idx="1187">
                  <c:v>38.919998</c:v>
                </c:pt>
                <c:pt idx="1188">
                  <c:v>39.25</c:v>
                </c:pt>
                <c:pt idx="1189">
                  <c:v>38.259998000000003</c:v>
                </c:pt>
                <c:pt idx="1190">
                  <c:v>37.380001</c:v>
                </c:pt>
                <c:pt idx="1191">
                  <c:v>38.479999999999997</c:v>
                </c:pt>
                <c:pt idx="1192">
                  <c:v>38.009998000000003</c:v>
                </c:pt>
                <c:pt idx="1193">
                  <c:v>38.189999</c:v>
                </c:pt>
                <c:pt idx="1194">
                  <c:v>37.299999</c:v>
                </c:pt>
                <c:pt idx="1195">
                  <c:v>37.490001999999997</c:v>
                </c:pt>
                <c:pt idx="1196">
                  <c:v>37.909999999999997</c:v>
                </c:pt>
                <c:pt idx="1197">
                  <c:v>38.479999999999997</c:v>
                </c:pt>
                <c:pt idx="1198">
                  <c:v>38.459999000000003</c:v>
                </c:pt>
                <c:pt idx="1199">
                  <c:v>37.990001999999997</c:v>
                </c:pt>
                <c:pt idx="1200">
                  <c:v>37.259998000000003</c:v>
                </c:pt>
                <c:pt idx="1201">
                  <c:v>37.529998999999997</c:v>
                </c:pt>
                <c:pt idx="1202">
                  <c:v>39.119999</c:v>
                </c:pt>
                <c:pt idx="1203">
                  <c:v>39.169998</c:v>
                </c:pt>
                <c:pt idx="1204">
                  <c:v>38.700001</c:v>
                </c:pt>
                <c:pt idx="1205">
                  <c:v>39.459999000000003</c:v>
                </c:pt>
                <c:pt idx="1206">
                  <c:v>38.970001000000003</c:v>
                </c:pt>
                <c:pt idx="1207">
                  <c:v>39.490001999999997</c:v>
                </c:pt>
                <c:pt idx="1208">
                  <c:v>39.919998</c:v>
                </c:pt>
                <c:pt idx="1209">
                  <c:v>40.520000000000003</c:v>
                </c:pt>
                <c:pt idx="1210">
                  <c:v>40.439999</c:v>
                </c:pt>
                <c:pt idx="1211">
                  <c:v>40.790000999999997</c:v>
                </c:pt>
                <c:pt idx="1212">
                  <c:v>39.369999</c:v>
                </c:pt>
                <c:pt idx="1213">
                  <c:v>39.369999</c:v>
                </c:pt>
                <c:pt idx="1214">
                  <c:v>38.979999999999997</c:v>
                </c:pt>
                <c:pt idx="1215">
                  <c:v>38.810001</c:v>
                </c:pt>
                <c:pt idx="1216">
                  <c:v>39.830002</c:v>
                </c:pt>
                <c:pt idx="1217">
                  <c:v>39.82</c:v>
                </c:pt>
                <c:pt idx="1218">
                  <c:v>39.68</c:v>
                </c:pt>
                <c:pt idx="1219">
                  <c:v>39.779998999999997</c:v>
                </c:pt>
                <c:pt idx="1220">
                  <c:v>40.590000000000003</c:v>
                </c:pt>
                <c:pt idx="1221">
                  <c:v>40.799999</c:v>
                </c:pt>
                <c:pt idx="1222">
                  <c:v>40.729999999999997</c:v>
                </c:pt>
                <c:pt idx="1223">
                  <c:v>40.529998999999997</c:v>
                </c:pt>
                <c:pt idx="1224">
                  <c:v>40.799999</c:v>
                </c:pt>
                <c:pt idx="1225">
                  <c:v>41.110000999999997</c:v>
                </c:pt>
                <c:pt idx="1226">
                  <c:v>41.380001</c:v>
                </c:pt>
                <c:pt idx="1227">
                  <c:v>42.16</c:v>
                </c:pt>
                <c:pt idx="1228">
                  <c:v>41.490001999999997</c:v>
                </c:pt>
                <c:pt idx="1229">
                  <c:v>42.459999000000003</c:v>
                </c:pt>
                <c:pt idx="1230">
                  <c:v>42.810001</c:v>
                </c:pt>
                <c:pt idx="1231">
                  <c:v>42.799999</c:v>
                </c:pt>
                <c:pt idx="1232">
                  <c:v>42</c:v>
                </c:pt>
                <c:pt idx="1233">
                  <c:v>41.490001999999997</c:v>
                </c:pt>
                <c:pt idx="1234">
                  <c:v>42.68</c:v>
                </c:pt>
                <c:pt idx="1235">
                  <c:v>42.34</c:v>
                </c:pt>
                <c:pt idx="1236">
                  <c:v>42.389999000000003</c:v>
                </c:pt>
                <c:pt idx="1237">
                  <c:v>42.490001999999997</c:v>
                </c:pt>
                <c:pt idx="1238">
                  <c:v>43.900002000000001</c:v>
                </c:pt>
                <c:pt idx="1239">
                  <c:v>43.490001999999997</c:v>
                </c:pt>
                <c:pt idx="1240">
                  <c:v>43.59</c:v>
                </c:pt>
                <c:pt idx="1241">
                  <c:v>43.209999000000003</c:v>
                </c:pt>
                <c:pt idx="1242">
                  <c:v>42</c:v>
                </c:pt>
                <c:pt idx="1243">
                  <c:v>43.16</c:v>
                </c:pt>
                <c:pt idx="1244">
                  <c:v>42.970001000000003</c:v>
                </c:pt>
                <c:pt idx="1245">
                  <c:v>42.279998999999997</c:v>
                </c:pt>
                <c:pt idx="1246">
                  <c:v>42.389999000000003</c:v>
                </c:pt>
                <c:pt idx="1247">
                  <c:v>42.560001</c:v>
                </c:pt>
                <c:pt idx="1248">
                  <c:v>43.759998000000003</c:v>
                </c:pt>
                <c:pt idx="1249">
                  <c:v>43.970001000000003</c:v>
                </c:pt>
                <c:pt idx="1250">
                  <c:v>43.66</c:v>
                </c:pt>
                <c:pt idx="1251">
                  <c:v>43.459999000000003</c:v>
                </c:pt>
                <c:pt idx="1252">
                  <c:v>43.349997999999999</c:v>
                </c:pt>
                <c:pt idx="1253">
                  <c:v>42.02</c:v>
                </c:pt>
                <c:pt idx="1254">
                  <c:v>40.57</c:v>
                </c:pt>
                <c:pt idx="1255">
                  <c:v>41.18</c:v>
                </c:pt>
                <c:pt idx="1256">
                  <c:v>41.639999000000003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C-43AD-8ED2-EB961A80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6008"/>
        <c:axId val="21062152"/>
      </c:lineChart>
      <c:dateAx>
        <c:axId val="21056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21062152"/>
        <c:crosses val="autoZero"/>
        <c:auto val="1"/>
        <c:lblOffset val="100"/>
        <c:baseTimeUnit val="days"/>
        <c:majorUnit val="6"/>
        <c:majorTimeUnit val="months"/>
      </c:dateAx>
      <c:valAx>
        <c:axId val="21062152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 panose="02020404030301010803" pitchFamily="18" charset="0"/>
                <a:ea typeface="+mn-ea"/>
                <a:cs typeface="+mn-cs"/>
              </a:defRPr>
            </a:pPr>
            <a:endParaRPr lang="en-US"/>
          </a:p>
        </c:txPr>
        <c:crossAx val="21056008"/>
        <c:crosses val="autoZero"/>
        <c:crossBetween val="between"/>
      </c:valAx>
      <c:spPr>
        <a:noFill/>
        <a:ln w="381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Comps!$D$34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Comps!$C$35:$C$39</c:f>
              <c:strCache>
                <c:ptCount val="5"/>
                <c:pt idx="0">
                  <c:v>EV/EBITDA</c:v>
                </c:pt>
                <c:pt idx="1">
                  <c:v>EV/Revenue</c:v>
                </c:pt>
                <c:pt idx="2">
                  <c:v>P/E</c:v>
                </c:pt>
                <c:pt idx="3">
                  <c:v>DCF Growth</c:v>
                </c:pt>
                <c:pt idx="4">
                  <c:v>DCF Multiples</c:v>
                </c:pt>
              </c:strCache>
            </c:strRef>
          </c:cat>
          <c:val>
            <c:numRef>
              <c:f>Comps!$D$35:$D$39</c:f>
              <c:numCache>
                <c:formatCode>_([$$-409]* #,##0.00_);_([$$-409]* \(#,##0.00\);_([$$-409]* "-"??_);_(@_)</c:formatCode>
                <c:ptCount val="5"/>
                <c:pt idx="0">
                  <c:v>36.289182709133947</c:v>
                </c:pt>
                <c:pt idx="1">
                  <c:v>10.188522422979107</c:v>
                </c:pt>
                <c:pt idx="2">
                  <c:v>67.034929933433787</c:v>
                </c:pt>
                <c:pt idx="3">
                  <c:v>39.493871771514307</c:v>
                </c:pt>
                <c:pt idx="4">
                  <c:v>46.73881351370536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1-4405-B8ED-2093A43A0B84}"/>
            </c:ext>
          </c:extLst>
        </c:ser>
        <c:ser>
          <c:idx val="1"/>
          <c:order val="1"/>
          <c:tx>
            <c:strRef>
              <c:f>Comps!$E$34</c:f>
              <c:strCache>
                <c:ptCount val="1"/>
                <c:pt idx="0">
                  <c:v>Spread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  <a:effectLst/>
          </c:spPr>
          <c:invertIfNegative val="0"/>
          <c:cat>
            <c:strRef>
              <c:f>Comps!$C$35:$C$39</c:f>
              <c:strCache>
                <c:ptCount val="5"/>
                <c:pt idx="0">
                  <c:v>EV/EBITDA</c:v>
                </c:pt>
                <c:pt idx="1">
                  <c:v>EV/Revenue</c:v>
                </c:pt>
                <c:pt idx="2">
                  <c:v>P/E</c:v>
                </c:pt>
                <c:pt idx="3">
                  <c:v>DCF Growth</c:v>
                </c:pt>
                <c:pt idx="4">
                  <c:v>DCF Multiples</c:v>
                </c:pt>
              </c:strCache>
            </c:strRef>
          </c:cat>
          <c:val>
            <c:numRef>
              <c:f>Comps!$E$35:$E$39</c:f>
              <c:numCache>
                <c:formatCode>_([$$-409]* #,##0.00_);_([$$-409]* \(#,##0.00\);_([$$-409]* "-"??_);_(@_)</c:formatCode>
                <c:ptCount val="5"/>
                <c:pt idx="0">
                  <c:v>11.752237452604348</c:v>
                </c:pt>
                <c:pt idx="1">
                  <c:v>77.55368633052511</c:v>
                </c:pt>
                <c:pt idx="2">
                  <c:v>58.185037042403323</c:v>
                </c:pt>
                <c:pt idx="3">
                  <c:v>33.228878070278263</c:v>
                </c:pt>
                <c:pt idx="4">
                  <c:v>8.6356849638524906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1-4405-B8ED-2093A43A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71482375"/>
        <c:axId val="116397063"/>
      </c:barChart>
      <c:catAx>
        <c:axId val="71482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7063"/>
        <c:crosses val="autoZero"/>
        <c:auto val="1"/>
        <c:lblAlgn val="ctr"/>
        <c:lblOffset val="100"/>
        <c:noMultiLvlLbl val="0"/>
      </c:catAx>
      <c:valAx>
        <c:axId val="116397063"/>
        <c:scaling>
          <c:orientation val="minMax"/>
        </c:scaling>
        <c:delete val="0"/>
        <c:axPos val="b"/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82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DCF!$C$43</c:f>
              <c:strCache>
                <c:ptCount val="1"/>
                <c:pt idx="0">
                  <c:v>Weight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B1-4ADC-A0B9-25EB5CA2832F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B1-4ADC-A0B9-25EB5CA2832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B1-4ADC-A0B9-25EB5CA2832F}"/>
              </c:ext>
            </c:extLst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B1-4ADC-A0B9-25EB5CA2832F}"/>
              </c:ext>
            </c:extLst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2B1-4ADC-A0B9-25EB5CA283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aramond"/>
                    <a:ea typeface="Garamond"/>
                    <a:cs typeface="Garamond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DCF!$B$44:$B$48</c:f>
              <c:strCache>
                <c:ptCount val="5"/>
                <c:pt idx="0">
                  <c:v>EV/EBITDA</c:v>
                </c:pt>
                <c:pt idx="1">
                  <c:v>EV/Revenue</c:v>
                </c:pt>
                <c:pt idx="2">
                  <c:v>P/E</c:v>
                </c:pt>
                <c:pt idx="3">
                  <c:v>DCF Growth</c:v>
                </c:pt>
                <c:pt idx="4">
                  <c:v>DCF Multiples</c:v>
                </c:pt>
              </c:strCache>
            </c:strRef>
          </c:cat>
          <c:val>
            <c:numRef>
              <c:f>DCF!$C$44:$C$48</c:f>
              <c:numCache>
                <c:formatCode>0%</c:formatCode>
                <c:ptCount val="5"/>
                <c:pt idx="0">
                  <c:v>0.1</c:v>
                </c:pt>
                <c:pt idx="1">
                  <c:v>0.05</c:v>
                </c:pt>
                <c:pt idx="2">
                  <c:v>0.05</c:v>
                </c:pt>
                <c:pt idx="3">
                  <c:v>0.4</c:v>
                </c:pt>
                <c:pt idx="4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5-40D5-830C-4908E07EB7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140680845387596"/>
          <c:y val="0.19163185718806428"/>
          <c:w val="0.22958731055479051"/>
          <c:h val="0.563120567375886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aramond"/>
              <a:ea typeface="Garamond"/>
              <a:cs typeface="Garamond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Map!$C$28</c:f>
              <c:strCache>
                <c:ptCount val="1"/>
                <c:pt idx="0">
                  <c:v>Operating Margin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  <a:effectLst/>
          </c:spPr>
          <c:invertIfNegative val="0"/>
          <c:cat>
            <c:strRef>
              <c:f>Map!$B$29:$B$36</c:f>
              <c:strCache>
                <c:ptCount val="8"/>
                <c:pt idx="0">
                  <c:v>SFM</c:v>
                </c:pt>
                <c:pt idx="1">
                  <c:v>KR</c:v>
                </c:pt>
                <c:pt idx="2">
                  <c:v>GO</c:v>
                </c:pt>
                <c:pt idx="3">
                  <c:v>ACI</c:v>
                </c:pt>
                <c:pt idx="4">
                  <c:v>TGT</c:v>
                </c:pt>
                <c:pt idx="5">
                  <c:v>WMT</c:v>
                </c:pt>
                <c:pt idx="6">
                  <c:v>COST</c:v>
                </c:pt>
                <c:pt idx="7">
                  <c:v>BJ</c:v>
                </c:pt>
              </c:strCache>
            </c:strRef>
          </c:cat>
          <c:val>
            <c:numRef>
              <c:f>Map!$C$29:$C$36</c:f>
              <c:numCache>
                <c:formatCode>0.00%</c:formatCode>
                <c:ptCount val="8"/>
                <c:pt idx="0">
                  <c:v>5.2400000000000002E-2</c:v>
                </c:pt>
                <c:pt idx="1">
                  <c:v>2.18E-2</c:v>
                </c:pt>
                <c:pt idx="2">
                  <c:v>2.0799999999999999E-2</c:v>
                </c:pt>
                <c:pt idx="3">
                  <c:v>2.2800000000000001E-2</c:v>
                </c:pt>
                <c:pt idx="4">
                  <c:v>3.0800000000000001E-2</c:v>
                </c:pt>
                <c:pt idx="5">
                  <c:v>2.7799999999999998E-2</c:v>
                </c:pt>
                <c:pt idx="6">
                  <c:v>3.4500000000000003E-2</c:v>
                </c:pt>
                <c:pt idx="7">
                  <c:v>2.6499999999999999E-2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F-461F-A418-A4F136489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5858823"/>
        <c:axId val="1205860871"/>
      </c:barChart>
      <c:catAx>
        <c:axId val="1205858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1205860871"/>
        <c:crosses val="autoZero"/>
        <c:auto val="1"/>
        <c:lblAlgn val="ctr"/>
        <c:lblOffset val="100"/>
        <c:noMultiLvlLbl val="0"/>
      </c:catAx>
      <c:valAx>
        <c:axId val="1205860871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aramond"/>
                <a:ea typeface="Garamond"/>
                <a:cs typeface="Garamond"/>
              </a:defRPr>
            </a:pPr>
            <a:endParaRPr lang="en-US"/>
          </a:p>
        </c:txPr>
        <c:crossAx val="1205858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D4BBDAF-50C4-4355-AE8D-3B39A686DAA5}">
          <cx:tx>
            <cx:txData>
              <cx:f>_xlchart.v5.2</cx:f>
              <cx:v>Number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  <a:latin typeface="Garamond" panose="02020404030301010803" pitchFamily="18" charset="0"/>
                    <a:ea typeface="Garamond" panose="02020404030301010803" pitchFamily="18" charset="0"/>
                    <a:cs typeface="Garamond" panose="02020404030301010803" pitchFamily="18" charset="0"/>
                  </a:defRPr>
                </a:pPr>
                <a:endParaRPr lang="en-US" sz="850" b="1" i="0" u="none" strike="noStrike" baseline="0">
                  <a:solidFill>
                    <a:sysClr val="windowText" lastClr="000000"/>
                  </a:solidFill>
                  <a:latin typeface="Garamond" panose="02020404030301010803" pitchFamily="18" charset="0"/>
                </a:endParaRPr>
              </a:p>
            </cx:txP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1HzZctw4kOCvOPy8VAMEQBAT0xsxZB0q1aHLsmW9MGRJTYAXeF9fP0mUrJKq1W1vjGcjrAcYeaFQ
TGYiD5T/86H/j4fk6b780KdJVv3HQ//nR1nX+X/88Uf1IJ/S++okVQ+lrvRf9cmDTv/Qf/2lHp7+
eCzvO5WFf9gI0z8e5H1ZP/Uf/+9/wmrhk97oh/ta6eyyeSqHq6eqSerqX2jvkj7cP6Yqm6mqLtVD
jf/8uL7Pqvvq44enrFb18GnIn/78+Ibn44c/jlf626d+SGBjdfMIssQ9oS7ltuAcmT/88UOis/CZ
bAn3hLgIu4gwYf7498/e3acg/+P9mN3cPz6WT1UFX8f8e5B7s3dAX3/88KCbrJ6eWAgP78+PN5mq
nx4/XNf39RN8cVVpf8/g6+kL3IAEfOM/3j7zvyHgGRyxvFLL8QP7EelvWvmv5P7bfXr//dH8ArXY
J9xxqO0gsVcLeasW1zlxKSLERvZeLeL7Z+/V8hMbel8vL4JHivmvze+pmFKNOvuViqEntiC27WL6
Yg+v7QVjfAKKY8Jhznd72tvqs2J+vKF/UMx3wWPF3P2WijmPk3upf6nJsBPmEkodtrcYdOzJ+AlD
LkGI83dN5md29L5qDpJHujlf/5a68e8T9ZcuM/Ur7Yaf2Iw6jsDPDu1IOxiLEwdzm2OK9+p569B+
bk/v6+e17JGG/P/6PTWkE13eP+rvz+gXHDjuiRAuY4jae/M51g8C86LcJQ6cRK8dmv8TW/kHtbxI
Hivl/LdUygJ0oh5/oc3Y7gkTjGGbwOn++pBxbQjaOKH25M6mvyOd/MRO3lfJi+CRRha/5+m/VVWl
m1J9f2N/iZkQhzMXUbx/8vZbzQjQDOdgJMzdezHn+2fvj/+f2dH7qjlIHulm+3tay+wpue/uy6fv
z+cX6EacIORyx/6eqhxZDWcn1HEdSvCzbtj3z97r5md29L5uDpJHupnNf0tPtnzSZfhLT3/7xKGu
7bqQaJo/yCLfODRyQiklnCJ3b1ZHDu0nNvS+Zl4EjxSz/D3P/Y1uVKXuf2lCg06EC87MZUcppsAn
rsAupDporzP61lx+ai/va+WV6JFeNr+nXrb35ZDcZ4/fn9AvcGYQjzGbgyt7ayncOeEIQwoqnvPP
I0v5mZ28r5SD5JFOtrPf0ontntr7XxmNEXFCmEOpwM9B13GEjJ0ThzEyRWzGiQH9daD84/28r5fv
ckda2X3+TbXSfTh7Kqun4fvT+Z/bCkUnmAgkGHk/KOP0xOEugyLt3pGJI0+2e/qZPf2Tdg6yxxo6
+201tH3q1cOvzC7pCbUxgeR+XxSbEpbX5z9GzgmG4oxA7t+spvvw4938s26+yx7rZvt76kaXtfzg
35c6Ub80CIDkngjCGXk+64/iMy5OsMso5tAIMH+Q9rzxbT+9r3/Q1JH8sbb831JbF09ZNSTt/S8t
pIGzcwXU0Z4VgY7LnJyfuMR1p37O3tu5b1UFm/qpXb2vqLfSR2q6+D2Dt2vd/O8YFTkRCOI0Gz8f
S0dOz500CRkPtAz2mjqqFfz8vt7X1bH8kbauf0+j+gTvL3QSf1g3+F/s9n166n9pCxZDXYK4FF6E
vXM9CiwFBJ7Q6QOLfk6ejyz6h9t5//V4Fjt6Kz7d/pau9rOCgsUv9bME2kWQZ6HJRM3fkfVy98QR
UGwC837R2usj8Wd29L5iDpJHuvn8e/rXm/pefj+D/ufB/pSG2YTD8Xe4kPAmlJwasBzKFrZz5E9/
tI/3tbGXOtLEzaff0kq+3FcSrqvUOvt1+qD8hGJMGHef26pHoSO20QmDvPmlZH4U4P/cnt7XzWvZ
Iw19+T1s5eFf77rs/cneZt5w/r9e8hHQ+gYVIQYm8dpY4GiBuz3EhobGPgQBJ/faiR3dvfnn/byv
nyPxN1/h/9PFnn8OA15uRc3u6/u5uU716t7Pv1PN14UrXkeiz8/uXYXtn93q8c+PNoX6w8slrWmJ
Hz/zF7mn+6r+86PlOCeCQ3DJoQxoY5dDK6N7mijQQj+hgnIBXSpb2MKB+mE2ZVd/fuQYClh0ak7B
7RUbJKop8AURKDXCKwBBKIb2u4Ae/MsVtgudDKHOXh7GM/wha9ILrbK6ggtkGL5NvuebdgktFlgd
CQcTmzuCQNUf6A/3V+B4gB3/nwRHZYa7mD0VRG9ZhshNXyT2LJejWOLWsW86WtizdCzF0lCRa+E9
1S4zsqcmSfxMfU/WLGWY35PF4l6FWs7CNi/WZnCTpMi9Ayz6oVjzaTjCReGYf2e0qo2T1f1pSMdy
cxiSXLwGFU2ttY5PRSHIlzBP0g1xROhbE1gMGZp3neRL2ynoF5vXj3FWd+dhP3pYyrnmZbSIx264
Y3nhZzUWX9qwXzAR1XXgIT7SWRKMwXoYimBtZk4ugnUWhE7pHeA4wOSsbSMvHlA4pzwYvLokUThz
uxGv+wTzYoEh+lwbWDrNuaUD9C2PVXQ6RDTbRKPUm2QaZNBzP0E59Y8IBjSDo0q9ifPYqjwzzU9F
2MUbQ0v63pqHso/mYTi0i56M7i6qynYR5oG7k9Ns7PveKwXTsxwvdUWqzwIV1kWd6HgZW1J7fd7q
XTsNgRXDwIvBY3nWeXXdhU3u0dRJZ3kRiiWp6x0O63EX5ha9xlpVc7sNwkXZl+xahnm3DfPqpkjT
YIYkYu1VHEfVWS997rDqqkFJfQXfoz3NlFJ7nCFMtuIJFYUrAzqjHV79m5BZKGHtKSm1XnU90YXH
VDOsOzd+PRhcbvP+FcHgWprfPOvcJbshak8p7pLzkih5HQQWW1bUwX5JHXndVwP22q7qZ5Hd1csi
rskaY7s5y3nXnrq4UDvWR848c0d9Zfcu8ZkVyy9xwjOv60W7zrMCzbTdJ37UVdFnM0teZlVnqT3u
MONwGe40SqQzx0mpfMwzthQyaKRv4C5r2TJMRXja4qGZtaMsPKvq5DXv4+x0LNviNOyRe5VXbem1
Vho9yr6b14VM7+pgwDNJLbVltR1sQhLTWVAPwUI3lHlpHoTYg1I88+Cl14s8sfVODlLvEC/1bpiG
gnfM60WZLwyhdAeJwW6AYsmaeW6RP/Cm3xZBcmdHaSf9XBTW2QRmWdtKX/PROiONvgPzhC/0ApYZ
LS+rcYXJmK5HVpPCozHF6yhL4nBWx7qek24s98g9ParwNydP5SlPmZpraTl+01qRu2TWg1Wn/Tbm
AdmlvfDdiCfj5zbpEg8VKnQzzw3rxMMsH7yQxcOFGFm/HzI6Awn1GhP2rqeLclwGFFj7pPd7ag/L
hIfqUgfa9uyhTB9UF572UdN/YVW541mxjCc/YgbwesGaTX7EgKlxJgcYFHgejJnyeImjTd3idCtL
ymdw3Iy3YYA2TmU7j1KN13Rk6kvqim6OWBBt9FimWyXEM2ubjZuIpvrLq6PwndMFIsuj0wXq/DYV
EFBORTA4aKbT59XpwnGqGulI9yl2VLJSIo4SzxYqP7NyR5/VsQ2wmR7Dx6yv4L9Nj2WrYYx9q+7p
nJIR3TRFeFWwoT9PlYpudOcHaZX6gR6CeTKp2QzYGSn4sDTeZEm9x6e2lsQzVHeS6K0ymBu+g9iL
xAHP7DEknpH48WcUWbktsi67Htwy9qpWd5fKLstN4Mhoxpw6vw/j9izsSfg5FZZaUTdIF2Hp5vft
ulZhfF+lulrAvXb31Eni6rNlpas0ir1urK/7cMwuLKdmV6lstuHAm9uBMXk6wo3YOeZ1c5u1Reql
ZSXPU1aFp2XIsY9LnHqiHORdG1SDnyLUb9rMHa7TuLjgE75yezlH6RisCsWyL2ODfINvRMQXQx3Z
yyCN5R2uz7uh57fBkFmnbVPSuUGHLV3VUa5uQuHW65qO8SzoQnVH7Gj2g7fPhTr3m9gGijAEPB4l
0KtwMLyKb9++MSJu5SBHPUY4JrHy4eiKUDzeUTQ6fjfYEDPkAblqRheOcj3coUQ4vhXW1WasBnIl
Q+vLAAa7wJ2OZkMSxJuSoHiT5uXzzOAsN72IszE8PcIb3r5x+sozfAdy5BQXJSnhib+znMGhKlrm
srnkjOp53zTdBtUp28SlG81TPYa3tROd88m4WcAuCoeiL4bVlvSZtR3tV6yaJ/xRW+QiylP8xQkG
Pcc5lrNS1iGVnkWtMc8u3KZbgUkuuohGoTfNUELj0Asb+Tx7Sz3ms3q16GMNEm/5tFvhM7tsqO9m
Am2sYXw9iByvIuKUqyP8gTcOcrQxoMP0pu7T4FTFw9B4B5aDrMExnZ3bXdKfGlFDNPhjsVSgKyu2
u1mv40UwJsMnODwjH7u4vHWGWnmqdrtvYV5vxziUoRfFtaeU1SgvVblXM1FeYZWWvsWyGxz10bkt
kX3zAo0iJDdKFTd2m0bneIImmoFsOKkOnD8lN06f8LLK4fNC+AQDvdAOnzfRDtDLzliW8FWcq8aL
sJJbNw+p3zNbz1JOw63BmdlhiA0hTKjv4P6Z7z1m2QfB6b9b8pT4vjZkyJ3IlCbZNoNfULiEHxly
3gyaw9vrPlphgpnlMVzYc5NSaLxMGtv6ZIA4Pu1Ybn3KlaOv1XDfpnwdVFG4dZwS4okXMA8QxBNR
F+ypQvHyUoTDDIGnYmNhbwhNwtMqR/aGTTMy4czM4A5UnQfW8sBnZp3qrnA2qk3HBUSv1O4XdVFW
5/EYPg+GoBvRQzrxHWdYRnDPviHkLOmZV05yeEKaZQy3YRTxILx/f8YcKj/Hz5hQF3JAB34sMSWW
b51lL5Vly5JYjypC1/VYupcuj6JtFQetb7wmhF0PTUbcSwgv1bZ4wbuAr17w7ag6Xxf2MIVpDz1X
4hW/wZOQPyTBvSrFlaiTsfHAgeJN8OIZ9rMJh8aqmEfKoZ6QFQLGyXEYshmMRZuZYYQIhHoOobCi
Qe4Xd3GQ+cUo0czSkHgUSZx7WSuydTElHqkmaCkRUTMDosxNLmsc7SE9cZAgzD3Vp3qt2N1YJ74b
DGydFHV13tld7tcqTh8KUFEUOP1dCqnI/MDhsMeAnVWt66w4IbFXYwdevAOckx9EXM7ftcghOYTb
e4IyKKvyyZJeBVwha5WFekkeWVaHfqUU3jQvg1MpeIoGrmsK0WEezkmtqrMDqsjAvBLVkvmoGN1Z
Kqa7uEq8iMhqS4eG7uxpMHgV0WQuBkz9I4Kh9iKBzNZW87oRVr3So+LJDuk2mik7vS16hVdMs+q8
6pvqnEyzCa+pM5zueeOIxue0idctbe2b0dbignO1Lruc3JB4cC8mWoHcV7RqgijtPmmdDHNtW8Wq
6vJobWZRNzzPkpfZgXqYhR2P1rFdlct/tzD3b16M2VBZZcyFXxuBKyNHFlY7CkVDnAUP8ZDNMOaO
9pqxgJwFQeLiYDddG7BgAfZYGY0zPUKU7BnyEWPkSs79Pbth6qc1DOeB3SxpQLOkm7PzxCbpQkX1
sFOU5LZXB0mzy9cGM3Zk2MUGzfMoWIQd6r0ETND2DnSoYzUe50m8HLEadnvy8yoY8mqvLFM21+E8
L92mhhyyKTc40kU6M1MzVFYSrNNwbgDU0XLzivnANkwUCS2ftZXMVZ7Dcga1nwaNAsfKSbAIqkRv
qywbFjlEMR6HasTW4MzAINfqPTN1O77J0VCuHFnLZ9yBUYr6eQWDEzkTcGXopTL4XjpE/vYGEJfD
nWZnquBOzWb01joll0ESDah8jOtsrOic52JRysHaJm5xkVt9uzLQHsVxMHpl1gyzkLjCT/bwxG3o
UayGs46XqyFzrS1JJWuXg9CvljEEw6ugMzardVd7QV5GfqRH6yuzsyudlzj0oEI21Bz+DclFb2fF
XRfkoZ/UGbpGcuznmbaCbZGjaGWrrFi5jiTbGKKmOe6i8pqkWeQPlQzvphVlzNG0Ig3C+MolslxS
Kyde3RXpA7TulkXfDbeqTYP5aPHuDCdOcGE4ktLpdkkURV5t/NXkn3raoA03TqsrhtxjJEwWzQvl
wKjtJpmRsM38rCPVpei1lxS9vKaFkNd219gzJdxqYXAvHHVfxDPcB1fFVEBgo8wWdhCoWTWBBqcS
ni4KAcE/NyWH8AXOIFW/NIwGZ4komo04qi4N4bBWaioXmU09XFn1GS3kvKjdbNeEPRREphm3U73L
WcbWuAjnR3jDYYiTpGE9CLFJspwkX5Y1HAZv2GzV75c1qCPxt8tWQv8gaMP0KPmHBoZAFNIvyP/h
BYUfJr9920MxRkzktfUtruJ5DbUL4lmlW8ywbvqZOSMOZ4nbin7n3hmEynJgNWfKkJJiFo/jM7/B
GclRjf2ufYAXaVp1OqX2a71df/+hKuJ/cXB5cZ9Wl+k0tPxKIlpc7CO/KfyDFPyACd00vsijDW1s
vwcvdBnXCbsWVhvOKqrpMgwEu85GJ1o7hV14htrjnl1PAjSA18CgoOIKAt3oJVWVLU2Eaom4mcEJ
oU8NGKZFM7MTrE/RVEyXwXeqqbwfqKbybqhoYj6SxTHKbnTapasx7/8KBju9kEhm+8EK28cxj/HK
oAyxcZN2FdnlXymusosE2eOsFzaBb5LqrFlEJJy1U1QTtVXsD/bAzosBNWtesXzOqiC8q7jll4Ek
t+MYzMKw0Mugb+QMfIu8bgsir3Hcz0VYW+cG1ateQ5CVy1nHInBxTWfPRd1kC2mp1mdYi/OCCvec
T7OchaEH1ZRkdSD0saDbwhp9w3bAm0WaOmtfEaBWOHoEWRBsqICO67YsoLoRQ0we5foCWc5DPfD+
dmh1tuCYDUsnz4fboNHnTuN2V7GUP7ADDj2cN4E1VMUQpYgyzKFtQ5yjGljTBW6JirH/1pdQ6Ude
1luZ59CebSFOu9QsDXKf1/Qv0kqxHiPUXkPZtjqNedr5BjRDm39ysrG4MoCt4L2BnzYFCwNKnLFt
GLFLAzVB1l63KvgrTopmbbdWvoPaKt3XuYbBmuuus9amhrWvVSWukAvZJrF/4COmiiWaYF4INrOS
MxOEpQLynThP0MzEXfotKAaRzmqeL6DtxbYk0demuG+GPE4vwrbMdwYKQAXzhHBnvu8GRKVz4Nd4
IH4LAeoZjXoyM7PU6d1PxVBuuqlOY/B0iOmZqAP3U+3mx3jSITgNI1X6HUZh8INIDrOpKwYhI3TX
TNeMY+xwuAaE4GYfJRTqm29dm1vYVT1Ujv5WDZ07y4KgXNVps4v6IR68PpP9NtRlvzUzHWfVyimr
HeQaFTszzBOYdkE0eIJcJSjhW6FVepoLIc9qq0u3PBqdOc/S/hriKOGVSqX3PO3XcZNXcL4mrsfb
2H7kwxB5GWI7G2qCWyjiZ1DhcgfoK8GBVIzIdT0nGbKLjMee4OOySQPbk60dqycb/ieHWTbI1B+n
QOswOFJVG3caDrg2yz2E+9CDW094LuB0r69066yyoDxN7Z58IZHUsyGnbMUSi3ypHXcT2CK/apKh
u4rqYA0uMP6c83POx3gDW4k3ZmYGdyyHyovaeq2rBJ8aXCla6BDZIVruUzpoPH1K8ipYHpJAkzce
QJP0mZzwhdegDIdj5fOAtfWqysNhfRjGNh/WaZKepmltnxIS5oV3oO5hLqFh5QTjikUdPR+dbtZk
abElE2RQNZw6a1T3WwOBj3nGtxqpxRChzj/gDAv0cO5wM1TLDmq85beIoGze1b2zIpkD6Vc+hF9T
khEfapfDWg9p9gWX0R6vg0CvBhlFc6jMya9EV1CLcrA4p2nmXGJa3zgTnkHyvohFHywzi2fQRBrk
2HlB0eNh3fadc50RrW5qvTCFJ1phA5j6EZWunCgGSCa2sH3FFqpFEQkJv6X7t9iYIGhpH5kU+EZu
T7eBpqsPzmRyrzLXnnRZLrKRfEsl2Mv047ONGSx3jBbFkNTeAUdlPbSeDYXwPU+WJGgDlsdepAzv
EWj4GRoyL0nhK/GivpbWOJxFrYDC6DQMDPnwm5J+d0A5qkLeUNjZaWFrumeTxIkXDqpc3+BIF+MZ
K0SxQMLt/byv0hXuC/GpcCw0d0gOHd0JzEdansa1KyHqBDAaMugH6rz2DNi4DJ+3iG4NFMtRfwrZ
XtBgUqc9DaKIX4RCPUQozdapA0XnhvaBZ1pgwxR/HuHQhIvf8h1wFoPO9b7XdiTXEHdYs86OvdEK
vzZxGn+u2taaY1vCkTKEwdYZUTtLWIy+ojFcIdw4j29ZYw6nD51YWdG2M9X33dItJYfOSyt37jQU
CMq5CElfqkTuHFakyDNUA3duv4NYn66s0k6QZ3CiZXJXWnHtEzlk81dyhWXzZeLCPYBCyuScjPXd
yAX6HDkQptEUCjcGLPOOLnkss7kBKztRc+J2wXLPnATSt5O2XBswtIpbzmRz7oQl/izjyncJe2qC
BpqJjLDrgRVqmzv41pxiBgW9uTWkN+qca8E3YUyv6KChz2nicZyOyMsxVAQPgfohKjdUu4Cy4FG4
bgVIr3qs3DMxBuB96maIzgpFV7JHqRfZLrTch2pNpiFM8woahjAbdazB24nZAWVmhs1wGNAMqObV
OghwtYSuu/KisHGXdsDJXGulbh2tB0+Nw7iNuzD4LIZzyVt1iwIWrMcgy3wD2iKlM+6gdGVAXWfr
NsPBVVRGX4PKuY/xwGehE/RnAv6rkZtaJusyaYc7g1cT3qboXTyHmvqZssjomXZo74h4bkDTEzXd
UEM4tE0PuGasT/MRrawKkW2ApF7A4Yeg6Q3gYRAvYIBY6rGCqqWhhpD6DnvusrCj7ahWQV6QbSSi
Yh72NJuTkbjbHrIwL+y64ivkjaOvpBOsW6gv3+RNAMauiq80tugyspN6UY0o/1rYdKvgZL92qRR7
8XFiOxJPG2tm8BAq0TlT0UYVrvXq+gPReeRFKSdn5voDRAL4vBox6AEuTQwZr302QpToNmF8zpsb
1Qfc9aAGBckBNBtnvbLKeRtBA8vgmIOhg8FvRKPfsGXsNu4g8/FkbolLOlyNUNzTPhaZNYttohaM
NPIaiSKYiMV09yFoHfgl/L+dEJhN9bHXQZcNBSu4IuUguMDowP+1cFTb5KmVFW3W5nd5QFs/hfhr
jVqVlR5RGMb93AkYW7c8R74tHeozQ9ozGNJ+KFm+jDqVeND8LJZtmiX7dkI+gS68m3OTcgXayZfa
qpK5ScicVj9TozbVlwJM1dxfMPcZzKypmpuSN2p1wB+uQnTfiYbf3Ik4sAnU3URjdaXtzBuzWN3E
UT/nbTre2jgBm1KpBRWOcrgV3dh7Amq8u1h0ezZr5O027S3bNwEPRBdoETCs9v0xgztEQkfV9gPz
UTh1BB5WhnNK7Svsh0Xtvt3UJHLPRV/vTF8yVd0ltuLuCy1ZMadRUm+EFYuNFQ5ybllReluRcge/
nx7uG1Mghpuw4VUAZ6mH87o4pwxi385GZ3BqD7ekYulpNZTQ9ZlAw2bDVaZNjtvM08FQQFm7Ty8O
73I4pDdt3qOz/ctMnLw/JSnkuIbFDPX04ktH3zSdRmcH/IHXrLk3Govp/XqRHpRfjbL0IUmNr6AS
jWd9xcQ8Fyy6MoOdqrsxpcPaQEGH3YsgvjWAkZE8sFekFhVclgGZ99bpsxj9IMRi063BIwOCHyZA
VQYuGZGpCH2UtcR9XKWB1PldLe30DKrQcptQEW77akj9GJKPGatYVs0M8j2yIdQ5+1pVNF+bRLMW
540TtlcGiMuymtmBK5cGtPoGb1HQX+2T3DhGT4Xm4aYtXXY6YKb8oO9ZN4tEE85IketZVw7OaRE1
XxSkPnOtJFzgGUdxzmiHOVTLyRc3o9GZwTlTuSAaLOgTBcXSQONAm+muHdxt6tocPKDWFfWyQNBL
V45zs6nUhsoDih05N9lyoBt5CY1s39Fhd204SppAGy5L9MqABXfcs24q9BgQk4R6Ray6ZULHbJPT
flZDtLRz8mHYjUUNVXUsUTcPG6v2pdtkzsyQKgvdidylp4MIRz8MQ3mqh6ydhX2PrySv2tkIxZ2r
MB7aWT/NogmnA9feWiZs5zEWcEYqaKUn8oJJG9om01BNXUKDh6TvwkCjQnPoY4u168T8YrTar8Z1
VDocF21upUtcduG6qSNnJbPgsk76amuurNV2Fq+kKANopIFLN4OVBpdxzKutgQ4c5sqbkXpZw3Co
sB88AhbvHfyicXY2ruS2Dh6P0AbkrS23UKoywMFlGv9oaEHzeHCWZlbQbVu5pbObDqvcjeINgY7r
GeSNcBkmYt0WYQ2XZdykh3qfVPBQWfS5kbT10rrQ90VaX4iEBn859bc2Gxy4BYHzuYYbhI9Vje8y
R2Rfw9gJ/Qzq3We5DQm1bRG+HeyIbyNe861ilV5lOL5044yMMznhDCFzrx0JMWCLrCkB78PIz1o7
XB5Kc32WLLRot/AWXLqhpA8vkySM9pjo+2Qi1ZifW7KN1w5K3K0lq2b0uhJKiw2zSkhFACkw3OCc
FXWQL7KOq0sVMXaWo155sqlR4leUhTMLxWJhggPwPuVlNJwnlrss4BLb5uD/ODyNBcR7qb93fW11
VUvXmnMM1yw7FSefgP8WB7T51ign9VoMtX5GRXXGUU7mRQktBJ5WnuHQDVazuizjbdo0fOcENPfj
gtsry9Vw6LqCrXPIXNflNBjwMJQFWnYkkasDqnHibkkG+O/3PuOyapbQ3plD8U3ubOhGXvTQZb1w
rciBlGrky5ZTK/C0G7ULWTjIN2Q6MapeRpB5hNDILKKlqxLhkZaIZZSU4xlOs2yTxDVeNLiElwf+
MxS/YgH/UnD20I8se8pj4nEB1/i8MRxOraLsv8UW3KWwmyqYDVAU99xWl9fakp6An75cJpVbXOuo
UXPUxPHCEImq+XlgiYUhGlSIM8uroSC5MqCFkm7NQgYJfhfXOdRpkpskIsl2LPJsljO4j7soKpTO
VfrflH3ZkqS4su0XyQwBAvFKEPOQmZFzvWBV3V1MEmIQ49efhSK7o06dtr3vfZHhgyQyg0CS+1oe
SP6lAqlEC0XdsE1bLo3SNMVivl1ZNlNhVSLVePcxIl633pa7IzkUcWr74eg22SHN8o9RjcFDXMvg
oV+uajsjK6uoprUxDIUad3GTkBCnF39VxBleK3ycPmwbiZPRf696Oz4mY9WuSoR4aunm89tcWhYe
XDu/miYhr11cx48EQeerZuV4pFPz7W53Gpevh2q0I6OzrfY7V2OOjYIPgNlWTBnygkn1XTPpRYFn
q1M2WP6F0mlY4UmRf/yLR5VYdDNU7oeD49k1QfzTwSHj1Ug5S36RFht2Gkg5L56KkvVdWmyT5xV/
SQRxj0J1+WMHzNzt+1YLBP1HREJv23UDPC7b/hi7AOzFlbxMmpI3xttV08z9S0za/mrRci+EIm9u
ycZT7QgaDotXXg3+Nq/Tam2sIk/bKG0roIsrAEHM0LYS4pHq7pfDQT/0atvE+dcd5Ikjtzop8rAt
uHMaZ/vaSX8W+GQyse49ZProwNuraZAuu4yVYmsdtw/MgCqaFvngNNMI3i9YjZtSTExtexuZtDjJ
sYR5BGczuygfK6cvAYUlw0Oe7o3mrr67ppTJR2MQko6Lq+WTYNtX4EbsMmXZa8TI2xDoUvFXC3AZ
VfFfvuQZMgRavzIRALJPu/k0VpQefRKO3QqbRBLdgCYiOwTe3L9aid8c+oT/ondHJz+rWf2QiXSu
WHxWlnCCFxNpUTxeBdlQXY2Ux/4H7eP4FpexEQRd9V2tDsbYJzqIkHYWWyNmjqe3eebbkRnNm5rp
4NvEDxmP201PVY6QZoBUYdywk+Uis9L41AuHWKc/8N176mmRvLoOFrDKls7GylR9npYMF07T27Yh
2Z++cGSIV3D3HM8J2XbpNO2AkOmvYuZdaFzyAtEWoEC+iYHgE+lTgNds2f+XGLj7L5tJH9U5QUhy
sWA49LfTmANcZ0KDSnzLsiL0+rp7pA5pr4W2i0PVFnUIRI2+Gl3ltxQvfdFtjWgMs+P/3mskdDep
QJNn5vVhOa/4GMgidLv7BVLr8smxEnuNaBQywr6j26NpYsnqjWLW95mQ9lgm/liFtm+3R2tpjIsR
3VKjn7m8d/6ljxlnnJrP/3J6Nbl99UvKwPaxDoH9Axy0C5TV7/+vtrHadJDO8Gn3pdzIhOahs+wn
6NKYqyoVWNYzS1+bzM/3Rpctm4qhZjAgD9BufeLkoVF2RcbPEuTLU9H7OAKpBIdRjz78dtXbwr7p
xn+u/v/9BrvZaJbMW5OnZAAEh6mLwJo5FhsxcfPiaBKTRizcMf9FNNa7872vVj0Pf3O+i0nbYCJB
4pU1Uv/ElVIPfCp2cknumwbxemclA8fZIgCbPos5KB8831mhcGb9oykmEgKjrJ/A07B3VYFDZMrd
AucCxwnzsff+LOKwxaf9p1d0JJRizA8VxSvZq9oq5KMoP5IJr3ySjnRrxHL0X4jyy6fSRjIOyLEL
KnXIj0yodpeSDlQDI+bzHHpDPJ2HvJ/enPKvXM7lxyDK8ui4fHmyMTSYBlmkuNUejHVyySpIywaA
UWvEcQJ3YAazZJZszB3cRDd4UbxHIfOgrK9tzy4ySdmasTzbd4BHRs3oM6Q0qvgxyxeMbFFnP/Dl
+My4cp4dK3f2XkbTTcvy5hv3fxDtpz9+6xh39P2/PP+O6/zvNwaqldqmohzKYKN2HOe/R/gtqy6V
n6UtEJtI3XWjtFdyyMjBGljykckA2HMksrnfAPblYt9q9Ene+RuEduiGZGX6EVhKhMAVeBdAR6ZX
2YiVcSsVK49JGow3ES+CLmrzwdp7PMtXetTVYbaGH0p2+U9ZXQLmNklYAvDidzH/lLKtVjaS8Vc3
RohOWnV90qL3D7Sth61u3PlR1TSJ7Ina78s4vY6zn/P8NY5NsKP0QpJUFThOqYd1WeX9JXbmM08K
hUMbha7mbge4R9KdZ/LaDF13MV5GbcSpq+ed21vfjd6ojNE0U18jlKiZt7rNYJTtMmRLxz7syjLZ
Gt0vk3FfbxErbo+/6CTePidt1REbav/rpsxUrOysrS0aebvRm874ENaoqGeij4zyt7tuhh4RYwCe
tmWb1PvEah8dMfrlJndpthq4QPapwL7zlFd2f6wLGldh3ZH+aGTFVbLSCc3W3JnWAoFiBbRmMa2G
gGc739Py2e9S/zy78YPnppAWVScAkWu1xfZZwOSzNSbukbjy591jYNbPusz9NehJWJ6WnrYn/b0G
UyY0YwTLQAIxo87r2Nl4uKIudjU2ldhEwWh04Dmt25Kkj7eZZDBt5DTNiLDCI8jqfZzPgOI326wt
xqvR2i0v1zSg/vo2gorrJwdYrvugPp3xzc/camtGdecqvmQiOXCGjMhK+zpfBVU87ZBoN510Erun
Uct3425U44z/o+b9EvnFncR4rx0IxaJnRNPUCUiOwrNPplfCE7JrKnwm5q6MzrHLQ+lb/GL8Mzdr
tgAfpthFY8hpjL8t6cUTBwHhoamXJKCLfMbSOPOIyDTqfK21x9IS3BjsxjNfPhmXdvYdrFRLJNy2
1drOXb0N+s3EWvEdTCqxGWcXXBZiV29ijncU7ITvbhO3kaeVfXSGfrySvv9B67j4npQDsGigW154
EhQPdjzjcLcYSm/82dc+ecpiVYCwoUVkJuiZPAJN9DGpfrr4gnR7H2vH2kwi4hdVBc7nqEexFdUQ
bFuAzz6AglsBlRdvbNHmG8TB3CvRxyGv53rVjTl2yIrlewpo2zOZ8C+rhhJ5nDGzanCJEHSlSflk
rNTL+sjLSLI1YkoC99Qq8e02VINnuAaE7MKDznq2rSnbxPas1kYEE8h6yDO2u/nqMRVhTWcFeKPz
hxnNr3yyDdyBrbAI02ebjO5VIoO43NZNgyz/StZpcbtVTnR5QGTeCp3FxREzXhMBzrcOdmNj1v59
z5XbRXk8p1tzH52yXODfy697Hjz+oDtR3u55eRzA3mNgjyxDClbPD7Pv74xkZjH37drDcLuv/3TP
ptPYkv9zz0nRWOBWqPRBl+NmIAXbdk2wrwqAydekq7wDIYDvhOZyEqAWrToNynLmsx1AWrBwohQe
GkFXN5loJC9yxgGwmxN0X8YYLF1u4oy/F05afQ1mla1OT8Z80+L4aoXIgsYlKSLEkOzJKZ7ztkZo
oKnHqLFy8QxgpHiu5TvH8/RkHDrfdtYWV83aiJVV2Fd0No6mixQTj4Z0KDdG1wJSifj1CoyQaa96
sfrqhnHbVBeR19Vym9m9eLYSph8m6m3vHrKeOvyZndqZsZDwChDLQ8BpVVcVcrW4YdO1SUY/BDa8
3RtdOVrDaXLzz7meuz13ahFRi+dbV4/sYBWlPCdj066SMYpLxCMK1bzOVilDkVbTX+m8EaXf/pzE
/MdgSfuNq8GP8iYuL6CD8T2wrf6W2jp5GuN0WoJf8hu2xsdy6YQwyBZvBPt7zhxgUfUsr2bmcVLs
kOdAQYCOva2412wLe/aPOk//cga7XqeMWLve4+yMrUyycauErkkZs2gq6mBlxZy/knZdu24LBPtA
v/PEuihZ6SQcrceUj/gn52O9STNb/Um65I/a6r0Pb7SKlTtM8XObJATR5sJ64M78NXdS2tXht3mz
LuFPMZuDlZ+mw1uXIbBh0/i3+YY689NQtdUmmCq68XBw2zQawe5YxAIMBOpHbOrpd9LRMO7t9jNo
S3+TNtO4swql3gLXO9RyGbUJ6AoM4e7sjD19KLOChbeeC24trafnOKDVwXeLfm06yHIL7hf/5tqp
2FA9tPsFgvYyB96jsQO3WK4aWg+XFOHBi08Q6Lt1DJKnmbr+C752ej9aabGp7Sb+FjebW0eH92u7
m3H2tbr5eUibj9uNyJmFBAmLh2Ia+rPt13SlllvPBnJQWVe+zTyddjZHWFHqrvtE+Cg0DsRpOHgZ
VC701voacNDOzFQta3XYYtfwmCRDd/J6S0TGQFi7CfDWfO9wLt3yqpm2aTGSd+Xik1/mrGpVR3PK
xSlJ5vzJIz0I3ss/Glt+BIqw7bt6hHfHmDbObcgml/jCtemnnr1kO85Vs/MGPr3Nyt6bnoV0GHaq
UgL0QIKHssjtcMaS9Mpk+VpPQxlmvJY7lRT6xmYwlAamdRnGqSd3d5oDTfxnMnJ7v6ymDcnZtVoa
LrC3q50csaVlcc2AcrhW/I8U1MHbglrJbN4i1eusTCfj1Yv0ecJ28mwkb+yCw8iXoJhS9hbbXHrw
RR/6okpfhUvIU5FURxr3yfvoK/xzCumFmZ0l701Dx21nId1irJ5MRETcqUfQBtZ+cH+KilsXIy0j
2gNPXstlxH5GSYbFidWYd5YNQ44ESI5i7fKen5CJ4qeO9did9vVo7wa/e7AXQxNzUke/mMlY7fDS
94BfzYHroYUEeozZf19OKWK3eh7/TOi3wU3yXdz1csVU4BSAHqQalJzW2dZAYYL2m4it3YOZ3zIl
r3NjpYDGWw9fziUBuGLsZHST7dIZQ7uu9R5oDQzWls+JZ+VPIgvEdWAsObI0+KvzBGx2x+Xa1i0e
MzMR0uF/dJWmCAcC5JN1GTCLysvfRUK8tSQBomKLWA8xw1NQVCcjjo69y8DfuboqXiDESDhMZfGe
pIiPO5XVLxvp4p0zzreNFX9ZczEW4KbF095Ye8v/7qq0eTBdSbKeHWt8a1A04xHAkVczjyzd+mBu
Si7jg8rz7zdlrLKht5sipBixWShqZCoWptXCwTKxPiOWQzaFMU4yt/if0fF04WVxQ+MyngmJwaxY
nPCLCAsT65+Bbk5mzGxxYlIu6YpkPc3jqpNB/pwwOb8CBrZGsLu7GskaFLZoGXsyEqfOHozu4iYB
JndyEjU8GluMRKSYFH8wEnCDz4CLqpsUO857N/r0YmxlIn/QlGUXf57nVysG3rgVLupPLNNzqxEh
vhvxyVipTJqwDCZ9uk3SqTHMqOBHYy2xziPw7TbHm9VjMb5Twj8Ab2G9esgQgD991l5T7MEJUy+z
5+eom2HRyIiJsPSZN/GHD5wfnuK6CJMptq7GaGlMpZw2OJQtUS9j0atNmY/twi5TL0PsyBM4ymD+
m7468gsuXowrshdFiCA1Nu6La9oN/doB33NjrEGL2CVwsaIZ2otw3DQShaQRqMTthdUKFSu65TJP
eR8CQBtvbso6BdErrFv6mEswuO2knFDvZBnDqpNQIgQChuUeSZd5WxZx+UyDQV7qLL1YhBK1asSM
Axtqzu6NleEn1I7xhDhuLGv1bHQIYH9jSM6ejCoLhnhnDkJI8GKAiba71lYt3r4YfaSVt4nTuYuM
aHrYqCtR9NbVaGiKvd7EBEi9ywTpVAyPXT/d3I3HMPp47CpW7IzIU92fc9VfZ3/8Vsa9Phm1Rkgn
xAPaH4yYtLV7iLHChEY0zdDYL44W4mxmCmbR7pAY1Ku7h8WicZARHhTxOLijtXasrl/jTVNvSq38
yHTskVq4Dn/d/toWGbloAuJpY0YBkd3GzxrlWxugt2fjzsq5XNnWbH/dPk9cnIHYO/gFCTJFs7cB
S3xlcl0m61UACwcABj/cVeaqGMHZt1Hxwkg31dCTMKjGcZvW3VdOrS0yB8ilqV+NCRLE1eivhZt0
NyjRPXMYt/xqZWX8BbqQLYgO41h++TlBN2w63+/WQVpl0VAk9EyZ0GdWpDIqRpH+Ee8NU+hut9z+
P9pNfyzNEoc/oTayB8iszpSL5LY7hwbcehcNHfsuGoCrWpy1Z8F5IWTfraZv23EVNUDb7PlYBQ+t
Q3/WqTN9eDxNN6RpvC2rsA3Dru08NSK4auxCjVec+6/TQIEKk0OwAZQRfWz62neZfkKVqPpJOOIt
FcX0UeUJ3/gVmGAdls6PFP8sRA7D1LcUAGPIpNRLJkWQRp5SHFuKIkMa6O6SLRmUYkzraEz7cT0N
CjhYPygfY2Lne4a83vmmq0s+nL1RA6ARNGm3r8bGWttAyGx7z+L4p+UgoMyuteVlzyMd986rsRY+
yqBU3A4F0H+bEdVjVhUZVBxSW1nntAjWtNHTo7M0k8ymRyAKf0x2UxyMZPS8s7+6Gp1pLI+MQIxn
PtJLRQ+KLTi5EyAPL6zo2qXmTLsZFtEl1N97eZKtjFW5ObKQjQvqG4xGVQFeGjgWfTJSXKV9GEwg
7OZt8utoyPhlSeM9mfQDKc6dXQKitOQsBpS32gextn7JWXgJKVfgMiMg9E8eIyjOuulspMrl5d7R
m0YrNKJp7h2dkiHvjk7DMlMWz18zmQ65LOOdwo9wiEuJfUI5IIFF3MTfEVLaqBo1eP/nCjt8UCvi
t9nSiB4hkoYohWtdPbCUh7pnJyN1I2HHlDrfjWQa36XTKrdKZ+vIgV77nifXHvHUpbMZJs40Wb7d
WQTGzyxXy4g6ZewEokh69dINI6I8IYP8Zps/KZ9sL3JTj6+t5d9nmrxpjsJxyNlIYEXI0zjQNyM1
qHd0ahSftwIEmFOWpPTWAKn+dcWyoNvqov40HoLWX3ojTkKsmFvlZ7CedWhqcM0A2YeBIP5lqEXw
YC0GuRTnUm7shqhH6V9SNSBpPdKvHnke/Jwre9fHTOx7/OLm1aGz++QW23i226ssO3318WoH7x9h
FONgdMNYg2HmVl+dWrDIn/xgU/pnj40rr7CzE9OlezHNEIwgR895sunxGxQ40MOQ8gJ1ZKbF4vZ0
PToIqRk/YyVD+9KXMT5tVoznMvBQVsjjx8FDKaSAosJQaAxGXqwkTv7gLOmf0hSUqzIY7Of7VUKm
NKoWHUlgdYvgV+vdb1TshETbj3SBrCI4O4YDPv5LQDP7WlfBk9E3IMwjbNZWO4BI6s8UxyQ5Vt5b
32HDgzwdjtyL/t69rPoE9Gy/eNQ28jYzuHnvOEhwbJFw1Sw6c2V0xmr8hr5Jf7eiUNFXX9XEzSoY
UntLZic5A5sJ0FrajIcJGASjuuvNlfJ0cu64224DVswvrojPpKrHP5eLAvBpc5HWXxq/cXgY5ElP
nmN8El3epQfS0EcR4wyRmU/OXLbBXANkNA0IkOAz9ZbGGJzZBubo7x4cf+nFkxKEd5Tba3bcBybH
VqPeDrymL/goyXYQSRkZUbRMnxjCNqER27HAMQ07haTJ7G7lEHszDHn+ZIwBUU1Y45t3JNqhL2bg
Jq8RWF3E1MPAQYlYe4wI74s9gx7PQNerUnu8GJajIT9agAD1bkhEhdpdrvNu5fl8bAtZAcsr3Hfi
lYjWAmW703HtvDdV+zkxRzwmiH++/EsnQicrKpXtncsuIgB1FtgrgRDY44K4UWYuhjnCiuXtPMdj
G0nscjvJWCI+DkyFEZ3WxclqWXyNqHVQr2aZ1k/TJFxg3QKyMqBPy+oUUu9MoqLB1L9Tei5dd/ow
XmmF5FlTBeNHwCdE0BcvpyfGy3T+Ny+H1DQqqZciGlL07y6I1csIle6+pjXib9PCqxWD2tRkoNFk
28Bx/NPkzlYhpgKI2N9qSbGOh+C8AeTBqpMxgCZRXtpOdSer6lGESeK7jHXmNdPC28mpZpvCtdhH
DyilaJvsR+4DQYUSNPyU+779MPauH6JOX/Zj6Rk3efGKahRfPSnS16ancQBl/KtnbUvn1lNRnv6o
BVKiSu+yOK+/LzAVFqc/AeVD9KXqvVfWBu1a9UN2bmpSHBsy2hvAsdUzIi3Ibfk9CoHgbGd6FWr6
7NI5e9cIxkclG9JL6sbVgTLE72IfyLC8BakikaL+kYErh9h99rOIgQwgVfsxZ0Ed5QwVqFTn93ve
qE9s+mVUjy5iUSAyrhI98W/YcO6yqct+UkZPRd7Yn6WkC5OEZcC8xPaO88LbKYciSZQhFsjsYfx0
PXUOAqytlMSfHRaEjrLgEtdUvfR+Fq+qqRA7Gij1YiFVtcNqMa8qN61ehmmwHjTAdvjKqhfjwUa+
S+ZJPBqV1wTtKuc83Rv/OUFVvVpSERkrgvgodTj6T2Yqo+LpGKFsXvdkJJ06QVhkVnIwY2dZQzae
yllkRC9BIc4+qb4Z31HJ5iIzZoUclAdgqzL5gtDVpRel+uZkgJu5IPEeGs7rNzqXm7al6tsUo7YZ
nmI8FFVpfVTWD+NOKM+2I8fG3oicbnylh0/ldPUOBSUBUFkGnXoRaTeX72Uj7b2y03ptBu0JOyh8
GUFD1cE6d9x91ajiWijXX2VuiQ2E3/fFSvUxlsIaazWiyddKK/GQTv0aUfmhWIFH0+14PxAkSBf5
/7Hzbahltn8dgCa9DnOt9gh4ICSqh1Vu98FrTsv23NGKhUZfAhIYVcng3NyacvzFTXPxq5uHzdIe
pYia85Q52G+ESCL+mRU6CFufdqdOz+47EPiIDLTZm2UF6YPn1Wk4Ly9R7A/6bZCXqHCwiF7NWFgg
UHAyYuy89omn31Kg2i6jTFD0bRms91jog/xdVHkfenLq/mjbJrLsEsEJbP+POerBfsNPsuVLnULr
Wnk+CnYWmhzjACyrBjG5jZNVBIBO2gB/VuTfWN9dbNN/LnjYDVnzZ1UC/Df6engdnSZbV3GA8gPV
1O1JlgFFFLf6QU6ki6oijd+QIPpL5n36M7F2zHZwHzW1X7ng44e/fPdIpZzHPK/p1nG97qDTOT23
fcnWGYqZvljLiwJpzPEH8doNqRETc5Og3xWOFe8mAl68bm1nqUjMd1WNIIQRJwdvQFSWyG8isWNn
ZwdtcROHBN9SWRIRWSp3X4U1IlvulCXWV4ia5SNET92cfaSrd7WX1zer1yR6h+Kk+J8uzqnysc8T
qb5ZKw/ZExTr7G59nXiUu9gFeMqMLJkudh23gPNe7jkIqmyXUDLdrGLhQCc9tW7WWeTxFil2IMCW
iRofiZCsdpybFfxwtkWVLXYT08xytpb2vJuItY1u567lt77lOMxbm8XBzUp7e0TtztoNxdTuW17p
HSBYr1SPqNFa97I9mwYf79dV7qBC3DyefvcwbmmK4mZI5ImtEduqtVZlykSkxjh4kK4NQPGsV6Kv
4gcwLgDWSpHc3NRJOt+Uxs80icp/+BmjeyOZHh6JEfqVwyZf+t9dc4FYFNCLOL4s09wbbVsvdimG
g+lu9O2ckSNPUT4JPH4AnJYOcV4GUd3EqKi6DEwlXj4A+KiLZEl7vE8WK50da6IeCxzIf5lmKLCo
ArWfr43vfTLfLvaAYlanu75LiDx4MXkzM9/HzkqbrxAYo7cx/OfYpxVi2kV3a0jmdqc0SFFlt0KV
hL/VQqRMh0a2K+t+yZBKU1h4UUCDyMgCLOR0uzSuuhIkTHUb3Cz/YTgtMlD2EqQWlimnZRwv6XAq
MrI7Eb5KygA1W3KOvVkxg0dEg32d4Ck3oscKH+emVJ1BIEneGpAdjZ6iLu2+bixsY4dp/qCtRpGt
lnfntOrcV4logNEXMhj3cwq+/m1w1K5GjiQbQsRAsKEFw/5kmkrnwalZGiNqDdSeFaNsj9ENdY0k
NXL8YJujmCgiU39j7QvRRl3gzEcswi5iY4vBi/1+jcAX1hUDwDfYe2OhoLYb7zsm/z5UENOvbqbD
rW+TsANKe4wCe6N2O002OQHSILgrUZsHzeRm5XlYGnNldBkSRlHiWygy8L8NKZbkX7rlBLUIrEod
ftObQUxXpMnjTYPt8m3Gf5vM9KVNAJyotUTmEPoVAJhtrIW8b+oi3Ssn3copCY8Hey+x1o0pxXT3
GZzEWlkBGbZ26+chAxHnmdhNsvcrKbZDmoi3LC6eHFCo/pjbOMdjoX/1CFL9XzxiUutomjVqfga2
PAWdRvBKJ+XJtnwUZc3d/V3li9wDwvcfl3uPxi66HQo0n/kyiNHfnP3J8qNe1taKdZ1+nCqs0ABf
ItaI2EmAdF/j7xTKQIX1xPTjTVmVYNvboHAanVoMbQPyL87YVmSGuRmoD1wquMvrex2tkUzWSoi4
W911twJcRv69Stfvlb1+sRv/tkXF1N+G+30gI//nml6m+Jcp8YVvHRZ204WX9bjqNygNBRAPMi5j
iHIHKAwxUYnMjqqtY52jWLmTQjSWLm7tLkp0A/I8PuWNUXqN5yAsMjl5VDRZWDlDe62BSw1Rzs3f
86BAuGRoiiebfxib0dRBnKN0Q1Cu7jqPZW6YlWIBz7DmmgIrcFVX424aQK6xbcfPBN/mMDo3tfJV
4aftzlZ82FFpAQMjJVgP2SDOLWIfu7Sb3utY0QHPLkdrLMYHLHO9amnvRHTxNgYfFJSN6p0JSWlh
HxQr+vYllrlcs9oCY4Anz6gCPX5SWeCYxqRGHrpuNqMAvXDCr3Mdprrwttg4Jo8omNmgkJlL3woc
ncMBHL8/nRzlWwI2JKFA+VR/dAJgllwaFiLrXkiMJF7vNOIy+JbYW6LI92TZd1mqVmtnnMaXqkVN
mMwDCJPyYn8bCTUkEVyJ9Z99h6+fkOUlnmWkHF0dHWYjj+tPokJ26G/ZXJmmzVq1c1vn4tZJcvb+
aRBaS87gUJCTzLi9tXj7aYx3/W++81inC7btX8e4d00L3h+0tNdm7LveXN11c8WzU8af75q7611n
bqaYzzbhINYtN2u8QPnLtrVX+kg+sPbM00CFxE+czchlu0ahPBXN8inwNXsmSvOXqrQfK38qHvAz
uvyl7egczr4Wx36Qwcscd22EuIuP/wGsbjt4Gwfbf1CRIAbTFOzBlxMrM1LeN/QcpOl3Y2RgkV1j
fF2w5z41Bav2ckpAtylMG2cSrJqiB5bByOZS4iE6ANGqj2wcg1cZ+9/wpRxQ9x2S3dFnWVrDw01K
XQS2+Ph4kzx/J2dlPRkpKBAh8YR7LR3/3bLVvJaDnh9MA3owSsjHjgWIAnRl7X4ZGiAqUfKY87W2
WOeFwlhok4YJag/u7iPURQ7oWZJuSxR+PN313VAF69IB+jIY6jIC/tBda9TEedQA3Ty6yscvEri+
jbLVFaAlS+MgKnKWEomqGKcR7Eqh65xk6zQzCrsvkvHNM9cOGy8rdl6X949dF3k5GU9WNg2RRGTr
Rx7h7Oz9aDrdRVYhUZCVVP5l6pFWM4aa4c3ktNZnPzAHCWT9VyDBY5tarQ4y7vFDDr9c5gwQXKR1
23mVJzaqjlOvWuOAEu+XkhEaXIpHjzXVCyogKWTMSpTyKd3qRWKDs21aT0fGKv2RnZtBviEYLfSq
A/eOd1mLUvnIzg5ZOofMH1CtKAnkVvWouBuWXWkdWhTxuzVFOfwq/iCzJ1clJcn/UHZmy60q27b9
IiKoi1dQiWzJ9bTnCzFLakiSmq8/Dbz29Yod9zycF0KZIFmWRBZj9NH6hahQfNkeRUud/Ku5nfiv
vmJ9hnCrrPa3p2hLt2dssU6SPNSUJGQ85hJWXKLKyxCn2aNmycFPmrb52Q72izepxkveTyZ8KTM6
FGKIvkE9Jywg5M9mKXvEWnN3hS9i3E9kOwNq26rblCZqe6Rmdd5XqLwe7HGMzloL6Nls9ehBXw/s
mprraJi7JiPcv0cDyyK9Ha/bye0ypug/hK+zcHuN7QBJFhF4fCBNhS4tMZc3uTSH2DTm74YQ474n
kX6enD47pgOK8GjFf2RGll7rJokDYGQ2kQiaXyeStVmaHdInY0Z68f+eocAXuVcQbjpNBcijap13
I45Gdj3SuVBzJ76N/U977Yb4ap/7NThIlqDxUTDHJ00tlTu3G5U7AaLnrkV5vR9jeCXbia1vO2tp
bHOpsOMa5LBN4EEuUSiNu3kdCnHXMdOf6lw8tU0Dphhp16ldAIwXTaW8Q14NtgugzeS7vsnNu+2Z
UYVUJ+6ZIBS1eio1lfzup9bG6yzqOmGb3zLb0m9EJMdDXCrlv/q2szJLmmANZxxmbx7yfc7OaJgn
lx8mz90Oliz0q1e/bA2jZoDwS0R/56l2fjty7vM96+5ib3Zuuft6VrM+PzbE4Ldz5By3E9tbidA+
+GSgU3/DQQFRQa3ZJm+z6PLbIIBOktAn4CyX+eg0rbPfLnMjUgR4CTDvrmf/z88Cftu89n3rK4Y+
POAEMzzgDzI8gOA5e2SS7r76+7QiUbwsLttBLttO5IUKbpLS1O1JWz//73yau3ENcTnGDXAGEfbR
tb+plvpeFrX5N/OOIMmcP0rcJkhDXPHmtIq9Gzz0dUacdOe2cocTyizjZon2n2fzib6jHv5rxP0f
Xi6+h2SXjb67PnSaMrlPLOkGaVTk2MLQ93WiG6YbvhbqSg1EDNy69xv2Z2P6UONyjFWqgrbW1r92
bVd5SxIdPxO/elUj+FshHWLWo0elfEIknDxvB8pnlF0GnPewNZGLEhGImvnYZNQoUs1+12rdfLOW
cnjpyboHLkrA83YyxaLnsCSQdbazqlNMl7Iy1qQFT5VlnzzN6Li2k1sXlRZIbc35trWsiBhD1N5F
bG8qDIfGMtxoAwOC0h1cfmIRK6rgi0oArY+PbGtP6zVtQ739EpmVrzrudJaQrp5dF3KkrujugSXv
8qyoYLtcb3qd19bWper6W9XUxf12fctP9gikh1lnvcJFRvQ4JCYBfF7Mo5hC6juUYnqQTHp6tUHl
jOXE6COKx1m1WT2a6T15KXXHGxofFwuHD+CnjJuPkxwE4kodoGI5g0tUhnfk1u8xCPmHPLQZbB4d
iELFPJNtLUrnaBJdP+DiZh/MukAkIBRE+rYSJKQnT6Rjz4oj00cvYnDHnmD87hLoNjt1BtFkGrua
rex1e6RYyI0aoWsH3eZrzYDLBdKgfrggrU/8iVmaUCyRM6bkUY3qYGwjc+fWOlHcfFWSn5zpcfbW
FZEHBC7m7/sVUt3Q0OUSvOppdHGzrAi5/6kOlfmvFVD2JFQjPoPR/PCG+EeSxd4xSjUPGr9CbIvt
MLNkyq9oebXSuTjaq+DBbadzJgX/q2fv3PSKvN3y51IkD5R4eYekf9ApL6aQW3vpDe07biOur6II
25l9RLSTIkuJOUygzgh/8B4KhpG7hyhBleyWrs2wGenVB89TMXIhT+jrCzh/1DXdHtGzo4QCbNeO
TAcWUD3zslpklwnZop/U3X1POB5Pg/R3blUagkGj28e11hxgm5b+aCIwhRkV6CJF6JR+aHa//Oia
/hhZ6bldrJshpHrx4ND7TE7D3ktl5QNP/hv1P2RVpgF73z/ZpPFZtB8V9i+ZV30bSsQkuugPBlXH
Omo1f5Si9nXlW1zlgUVlvM8e+17WifmDUjJb5AeDT6byJHkZp/2jskzYWeYb1QBNiOSY3YlMVd+k
HO2gKsoY6EtVILCyvuupviD4Zk3ppTUY82H+gG21FxUT7FwO7bkR+TW1UVYvMXk7K28Pcqop5YyG
H8pYVS999LfxcgKJsn1ViI6yTliuAtZIQOEaDLupYPJYnJ2q6Vf0mPwnS5OdYPnOSCTHP0UWy6s2
G+NuKF76YdBeDSccUFAGSpS8aNSF7GrQWiBK7TXiaZ5rWV3NZQpriKZPS15eR/jTe40Smf2S82WQ
6B2OeKPIMI3PXtPtHV2Y56iWBpUv4yM8Asnis2uOqZ0Ifxj6B6QfO1POIypkM9RqV/FVeIso7fpn
Z6lJWM71sgP+IcMkG8+yR5urYjUArDjIlF49jSM1ZrVZIXxF1xXVHtn+1HmNa8res653w3KweoZz
++o6S/PkmPukb+xj11OfXKUqIJkpSCrXPi0LdQwmXBbYCZUWsi13g5HCRPTBUKupWDObbkbFoYYZ
RPyQVUSq75u5geCe25OE08rDhrq3wv/XuUVX6ahqezii1jzXgkAX6kgu3V5F205/vkBcSUD2ul9O
y3ik2KMKR2lK3LygnEwgq8PES/WD1as3VRdNiJB84Q5LXXkr2B/vWpB2x16f/zCJ2ZTJLN5ji8FY
oLAy8Jn94tDWD7lSxUEknL2bFO7vp2rqPzKXDdzsNKlf6T9BBD5jWeXr5PTOsQE0wcmGX6Ll60m8
5UGYdhqqAmkpGXgoLQGyWe8mC/xdOveA+jV5qdKl2Rc9QmTZ/ymdnBAGAA2YYULsFyV1b4OMzuXi
rjl/P4nm9KIZ/WtlAT3MhPjoqgLYRdTy5ZUamodouFftZCCFT6Jaa+vnNh2+x9LsDoWV2sfcJqEi
xv4QDbIKeL/5pSyno5fygZSi9Hy9tIb7pubD0orkpRzJ6+sNW5coOeZZeVgIKJ/spL0ry1oesFF7
HaFXJVlUhotLcq2IPUFGMz90dXQnhXyesXPbq9rwICLtPdUdQjWtvKjsN4J+GYY9lYtWqOjAJxIt
N89Foo472TV/E62ufRN0nir/6hj1AHnIpqBpi50XxY9dZWinrAxl3Fs72fi10z6rRfLWmGoKpXRi
6+uW19Sx8WwzRoDWMdpU6ZVnSuKLXe7m7530AJLk7hw47Z3AJcu1Z9tPvEr3nVK4h5p0z7VHsijj
trtW1DRfllIcook1FHU3qu8pELKI6WcgSq13o46pyCLkdEtU7zQWQUeEPqyV+Q9mizombB/WWD7l
ljGe4Sogwk9IFzM5T8FsIeercRIJCEPjAVPx83fWivSibC7Z2DEGu5N5sCNb93tlGneAFt6KQkxo
V0GXz663y8RQ+GNOcWoyZpftMCRWdiE7eilKaYdIoEpkvMOzm1NgQWQJCqfi9538mxnWmzXOv6Te
kQNLzTvE2BdBFSKwVvCSNgRsI5LfWlDDEF6LFzftrSscpAi7hEKeRNyWD+WMDg+iyGNC4bfZl8W+
ZFG30ynM2oGMwrZLG9HSlviWaW25b/QVUVO7+UmWbnyXJWTZ2tFIL4tXWueIlRosj1wLs9GgQjOt
lkud5eOpmrIZXxPbOGJwON8PaRmzmKWsFXlMcxjGUUdS3Wp7kUERKrs43cfYVfWU9ZiJTTJ17q0n
T7AkrhqjOqVQIaAvFF7Q5Sp5cxNJvJUk1otteGMw4jX32ranQbHToKoy97UjaR9Ix+rfZJYqPlTF
5JsxD5afoaj/tjTsnLRmqN+Vhpyol3fTWVimtaPktfU7hsv3yaLSJ6Wu5Z2y4g5xMtoHdKrwNHvY
1Exgvd9RqvU+2X0PMyFR3+vU6mExIOCMrRJ9c72M78TT2bDlzfCueRFsIFRS757VEltcXPke1wwR
U1Q075SQTb42mPIhVowwnVkhYVPoEZBwot3WzJJFv1YKVURT+r50+Qq6wZIknuPu0JgTk6xphqnN
njiKzeHadel4bflfL5MrDwjO2CszAe2EV1JqWTjWPWttIkreg7JI5aXL+chGMxhs3qWIsjzo82n0
haLlYOONNQraI9JMJLLfuOUXMplaYCMZP6iq0h5wtfrhDgUp5hawbqMCZ1aX+TBkcQeQXNhBQ4gU
lI9R3BprdPw5yY19TgjYNzAW0Ovce4SZMx4WcR3yZj71bRZdF/4XaDt3aBZfizRKHgikAuBiE8Fy
Q1FvWtxLbvvlwTZnJuxaAkdRgYoPybqojtjJqkPWBxQzdAfDtYK4x0vAVI38Zo99ffYWzQ21dDF2
o1i+13196GS9HJt2ZEUhvDfEwbtejhmFL9z/0YLid27chH/FRhvijhSNoNaGMh3laexHBYFWXC1n
hnyKsbKMkqEkomQF/8YHuCVXfR2644LAlV32coX87hQhLSbuhMIHAgJB1UdW0Hul46tlTSKS6aHD
9+VpFB5Bdas8tL0h/LEmqFF7sbvL69j2WzLL+zYV9g6TtyGEbWjfZwn4B5Ev6BZawmWayYBasYQG
G5rdVUaDSNe4m5XO2g8WriXUdjT4DDkW7+ymDFNz0ub8mihtdOm4VX0nFr9MZ+kDiyzjaVCNuzTN
CCHPjrbHnbQ+1nFSBGb22tpa8xDPk+4TUfvO6E2GeUzmEHzlMA8Y3bSxcgM90F8ne1L8inT9PdgK
oKi4bvae6oVpRz1fTZgn7+QD0W7EDT3Cn1p65qmyRHR0NA0OA2AMX1D+rmr5lfLGAz+J6dq1ZBtz
VIlhHLlVUJbufaGyCoyVwh9cFeZfG+0Ne559rVPCzqtfk8R27qpO+SMnvqjJ0ox7UzTVvp3z362B
fkfiurDL+4e6l9ldMYyTr2Qz+CJvvHXM+w6l58AS7TIsVTPaz/gw7pKBSuk+isJqFCXULuWPOZnj
BW6/cZxEGqT9ZAVtwu+kF2DywG5RAmoQGJ2n+uzOw0iRTt3cQaS7qpItlYFUxAARpSsZLD+qC/dJ
aV/k5E0hHoTS1+TQHimy3acTDFC3SZZTaRUt0krx0rX1owI4M3B70o5O235oSaEHhtRM7rCCm8+D
ON1PVMlB2XXj5mqvMdEeVNJ+XPVLlM7PwGaGQHhpElKjpJK9Wr63rYFWjmXBjpsCe46ZUXmZpmRn
995HEVWm3zkDsY7uME6FvEytDdO1m64TIsOKAfZQuPGbAyZ5P3m6CDKAmMsU22yGBz4g3DgPNvaS
+8Qp3upymnYNIbN9IVGUFylqwlqJr0upi7tqSpd9GzFFlTZULCfyioOSDU7QlRl0vCg9EoMrwnyp
zraq2xfW+JjTWt3JBGVnaJpyFNxIVBE9FAg4xjJLHlv2s7FFohnDCeZ86kq6pmXHqgKHdHR2dsKI
p2MpbG2XIbDxEzdwrOyG0a3F8qYFHIpCcmc5+WPqJResWuS+8zrQaGapHjABtU6Lo3pU/DZYpmA5
6+tDXh5AT+2X3q4PKZlnP1b45KJZ3beOK33KlYsDlhCMJFES77us+9BWvmDTt+OzVhIWgi9KKaWe
+KrnRUFn2MSeomzaFbp85qtyV8zfD8KfBZYIYhfPxs4p0MjEBOVQ6ztyPxYy20065o8G6LK3lPgM
da6BgjYQUXsng4ElxaGxIJo2kCBQh9fdU1NQwmWQCPTI+csJBX0xmbOvspI2e61Yx5+fYBbGS5IV
j0rULMGgatF90hoftkkefhlEmPV5coYSb/qmgpyrJpshnIvDLpPS08tgqDttIRzeNJrKuBdROheh
U8rbsINjCjGs8JHuN35kW+pRhVsXDo0lPw/WggrCrMthB0PgMfLy5UCN5hRgxFuykFXYqU9lhhDA
a85aNvbhNCZDuD36OsS22Yc4XhKx6bkzJ4dwO/r241wV7pEvV4RGoYrQJt516BacaKd8CZOGiSEr
2bR51CUF26u5HcmAvpiODQlG0/UuRC9cn1D/NdE8GeZN9SbdkgBKZY7ytKS4HDFRf9fdYg6Bjczh
aPTVfsCtxq9trQQibFU+H4J5HpRiILxwnOalCplFKjZBU7S3+vrNTlEFdHhP8vqEWloLfrNZB0pa
Y0Mzu1G4HVi+sg5N86tF2P0QKaoMlx5jnWK0jpLhMJRQ/WAtsCz1G1m/YFL4q+2q/vOz2h5tH1O6
WBorlWhxfQKPyTECdMeOln3G9shdmxM7Dr7vnRTVxJvmYE/RGNrxK0VNgoFur/W1we6CrKznZKBt
4koLWrXJz123kHBfdriJP2qKl+2riX+M5JuliZUEwQq+baMoYJBa30ADUK695grDRZJxPp8jyFZq
BIq7aE5j26w028j1wdqMHXWJCos1ZLCTEW7vAJgHeWFneSVtJ0ImhpWqsz4EZS/Y/kYG3o2IKEGF
UP79UlceW6vRJF7TulqI0EEPE2rMA+FQx9b8dJfiJ3EXl082mvjl6pbL7ph2pQ8+3ngJ0By+K6FP
dSjXw9bcDiYwD37m/9vpSOB0+3U15n/tYcZy2UUJrYkxaAb7g81JD6Cx0O29rZgARqr8hDerR1KH
C2LRhQsUQx8XW196En1m4jRI7jgMKP4O8+8kghcF4FBTujssvdJzoZSpb996AZW+T4fHKhJ3OeNA
WJVGERSi/DGX2DkosMZ8wIxKuOi3tvRwFVkUd+/kEqKfnZBOiLPlCfxfxdi9lDihxo8OWbGofE6d
4VWqrnEc1jCBalllOMWeP0mpX2Zt2VHC743Ocy+5h73BRS9Z1i/eVgbpEEKMKaQcxrNS2zm3DvzU
ZE6B0jhKy6qJOKMHvKEZihBmt3rCSoZlFcVYFz6aMywYxfIXss6+MiHScg3dz73YfJ4svxIiD716
+c2X7QQzotWzOUKrcvWs26WkyPSx865jshhHgsqCqrEgYwuxs2Rb39SSosaBbVSQFHC1+yKub1ZG
xrmu8QvsqyOF9gsMTURoQ51GvjElWqC2pI6X/B3Vv7xEFSTZCLbGrlWW5i4HnGFo8PwEw+zBmaR7
LjpqNzyFnfJiLd2vKU+OztIdB8Qyz46T1EdugeoUEUd/qyvs46tM+dGv0EzT1QYUo0lxVVT2Pa03
7EWRJj9ivHSJJAW1M5kfA6xQO0qdP2VCPI15Qa8U+1ZELF+qOGt8qc6nxmztn0TmXWIBjFGO2vUn
giVPpAapcekbCq2IluzquM3PukJO0ynN5dRH3nJcSB3sUGkau0Xp2j3Lx10txuyoNmu8AwBoWxFp
7ZLeviL0B4yZDE+4OjwaWZ1+RPg0UwlOMkF/zoVar8UrADENe3lqR/Wja7X3auyaSzRQMEm2nzxM
XVLynHlwgMZqF+dU/iZZXlLcms8MUvtuLotLUwoomWv0bkbqOxqyOXmDVF7VOdsnnkFIlYq9XdQX
ezis8StKwZ9J5y73psQ21FCxO5wHcL1uX6JstOr0UMjJ/ZDEr6Xnoq1vo/lC4DOGigxOaSCDfDJm
ItQVG6rWG43AyR3txg7AOEuRtseW2rPn1OyoeicT/keqJ9Pyst9y5gdDiMV49OpCQEwpzZOH5c+j
gcN50ClJ9asQf8AKpORIU+Ev0vaeURvjw5c6FAw3S8WCOl9uhBh+z3p3Xuakex7bzn3sAVukFXrm
eWBaKFLJcLTlvwvebLjlvHNyaYX/1f48vV25dW7t7bBd/vXsr77/70tsp+0l2sb5SC+VM+4UDtUf
KbPK58N61FhEr+3t0TbfDKnKRVv7Xw+/zn9dvvVth//q215n65u1rtoZqph89nZF4SMJFkyq60PV
YQlDOPU/vcZgsiBYzxcKkt29vp7f2p9P/TwmM2lAxVIOcZ404XYQ6zQ7mthK+lvbbOf/tJXEYxU5
4Kk+6/GTpancDm5pBIiI4qetT5Q2o3tmjsetbzuo1Kar6RjdfXaVdv4QM4x9PakbPe9s6sh8vp5U
tYskv8OG/199mQJpVxvU81cfO05stWzjVpuFtk9dER8tEcO0VhrrqgpTvUYYlTL1Td0P6WpvJULk
Z11VpnCJknJvV4n9WM8L26d49iGM1x8piotjZoj8RGKEqmWqE0dQc5ruDbtBFsRSourerof2Du7z
0WWOvUh7Yom05MWZyrFjzpb/UkmnPQJ3ea1k4azeHupeYdvFsBLb92M3Zazw1ft86kJgKOXFG1l7
NmxuTqioFsh6oDJnpYQfVy8/EseIAz5o75mA/n3VSfUD3lq1S0a72quLBok16dli9iKw63zCCrWp
jqasyfSoAJk0nUI5lt67fBjU18YZEYx2+VpNQSSpKC308GZsvGfit9H2LTtlBI19bL0toyl2JbVz
T0UKpEBM9U9i+VgIrV0y1vurB61/a20HCoXjQ0vp9267fuvrev3VswZ5t7WGtF7IME33XTd76NS6
ZFeX+fhUJVFFGWw67hWcJZ62vrRmsYs46rq1vL5pLmlT/gFD888Fy2Q54DAGNCjra2yHUv+bjlby
uL2MJ5b0rGJh639dMPRiXd7L4rz1Ndy3d50SXT18X+sZlwiqdx+0pcQqG6LiwXHjNTzBsL31wSd+
LCsyqFuXVQ8LbOH61zaub13puMyBKjT9uDWzua2foNb+8wpVflB0hEqb5nUTuSIHfchE5pyylvEV
ZMt/RLefl7SY3pha9O2r/7+vI8SPh4Jq6Ift9b4uHLT0eSIbx84GbzUITvU9yEDzbEwrP6fBJ3Tr
2w5Drdb33XqIMwWjVn1eDv914utiLV8ckK3qw1fX9gjf9/r+q8/Nyj+qJ1n9yNTzXdmCoNVJGSdT
+s+jrz5b6RARSC/crlDIMH1eVsVNcVJ0xDCdHoHOF2a00lu615hA0D5izXDYmloC/Jw9CXXXjtVi
LRitIp81VrhenI5JecoSMMJbc0x6cZ5SdCagmth7Jfar4RXo27Dj/WyaJNVPeotyvxt7+3Wq5HjC
vq/ZbRfDj89PnRTzLjaplR862wkjyaLEzonOqYqWAEkr7BdnqNiCecnb1rJKLX9e8wRbK3Uj+wWv
NShJXfm4ddV9zGqiFMvd1kQxZQb5ZH00cB52+oSHkpViSqT0qbK3PM990VgandSKRd3WrEG9wF9j
kbNdbDBcPFDBcNlORig6Xr7p/KyHYJwN7ishHtT1RfOO5W7nedXddmED0DWI5t7jxrILf+sbmXn2
CTz9g8f+3kvFQBENU9y0TWzb3OTqTkS4c91edQPlIoFh68vJKdoD/jgF2s84PVbQQl7i8VEIWR48
pckPxbhyL0f7mSCBRfJX6/c1qqxXJR+IThXqN5xcmN3nqny1tGlmnc8o5zl2wVrccC5LSrmzszYH
BSeO3ovewO4Wr0iE8SvpzePWasQoXxzjzOiY7u2lOTqoggAV6x7lW7l2mqooeW0nIllFQ0qKMhr9
pIHUDRJyAmuUzwkGlC77tDD7A2GsNTbmspyHGdgbFezVMj55+s5eq1BtdZCP20EvToap3IxKfut1
JYXM38w33jQYjnoiXl2wd1EMyiIzksdBbAtKDXUYglCz6h9dNTxEUaO+ZDGkSRQ3vjS96LkkrpU3
rNVVpeHzmTXURethe5Ssawy7Nu/jKi4+u7QpSkPFGJ6ytvglbNc4tYZBqbgFH25miXspm/KdtXf7
yzWT6zCV2h8JvyH3WovN0q2dF58FeUUOu+uQS1i46unQp+JVfw261Y9dzXo1s/acIuT9pZWA4ZSH
wrOsJ92uL1JTq0OtEaetlKzaI2ARJL3Tbyz6MKEBTBsknZf4EZVdDyYAeQIBdvpLJj/UeLGPXqut
6vzKhTBPjLDCcQ/DWpegrYoyFt8C7B/H6mXss7W6sEjCrYkH5D2pF+2Oynv7Iepn8lD92FCrYUwP
qTTX+rKsPaAKzk5tAyPEUqqTMeRVkBW2PBH0k3tzLStnZ248sfTnzy/kIElQ7BBB7TOFRD9JLSzC
9S4leGP7pv44Kt1TvDACGQy1hzjSa0i4FaovPBZedadrb/D+Hy12a6/D4mqPXasftnPARb1Lj52u
P9m/ewbnVzNxvGdcrXzb1q3XwTLm5wWq/3ZuAgRHrFkNtpYKb/GpGYjcr8/DTXN5qvRqv7XgwIun
1ssPSSQs3O0a5ZH4/nE713uW+ujgZPjZEmbz2I3L2VRzFayFfsqbYrmW66FTRxw6O51wDS3Rt8Nh
cBUblpFuXyddc9jzzqVPRAdmwNaJ5Yx9zSzmmHkuL6WOXYU6apyN5m7ZmykGqJ/t7dR2IIFptvVw
3RqfL1U2LRD3tiaMWo7JaRzAYjMY1/gMWDKhYAhy2Nas1z9AEsDm2avsmawFciKaU6dz9eKqyxlm
+MtnczujSTGEqZVfy2J4N+usPpdEvK7D0PxzgIDp7EVuN8F/nRhVb7rXeStf13aGoxkQlbXGR0AO
WmR9lbQjGDTpGcAAjCNvRu5Oh2SgmFIr1PjGnUSRgD0s812KvGrr265zZxHftqbbmA9U3BFlWJ//
1b80LfgiaStwGWPJUi7SdskcJVSccqiyrkJgTInlWAiSyGtfajJ6AgKKkXPY3UtpVa8iapLr1vK8
OVqllRWbXU6OXaYcldHO2EhX/YtqV/q9LZxvKEY6RC9cgXUEIk8T1xgaiSTHVMp8uduaWoeUg2K8
Aisczoq5ys7R6KEcXptgPMvbMqaff3jrsq05SGUR46TDBVY5EmIdYaJszXTEDco210D09rdsS4TU
YthY0nBxoTvWg6QEd2tt76+L9VNhl/Jhe+/lqvOarEzB0Ybrm1VYNOvYnWxNkagLP81qNbhZ35td
gkHKAEGtre3V0mh4KAQhXhLLpNYsrVIDpWllaJMsIJA8N4zVJghs1SYzFNta8epMjNFZHDs/EBBf
JI8SKkweMHJa/hK3eJuJhH4IGNYBSfnkuYLr5mOpWvsD+5UrCo7iJGo7CjtjSbCmU9ITecjqVAPx
vOll9laAZ/uNlS/+esn05rjid1XWtl+b+RRqIrVvbob6hthP+vtMIr4lgs/GQIvd7FpMVYYSJ44v
pEiP2bS82Etl+OA4kW+Iwr7vlr5e/LLR+Hlzpw5FedsOCjYEN6KhBoKqHw6Ex2DIqUB3x4Z8WtwM
CK6QnlNDp8LY7Kli8brpglh+Ocu2+SnaQsHUuJxfrL7hZzc9aJHU3+wl+VUtLh6I+f0wi+iQ2Mmf
pi/zW4qTwF4rHOVAmb76JqxMY9HaHTRXt18T+0hKrPhmLMt4MJQ027tKcYkV7xfLdTXEvuOPmdY/
+ykxSe80zklDMUqWzd1nAtDYJLMCAhPFD15i5N9HkkRYObhIkRqSlQ43dt5M3k5PSC81CAGe6vpI
RD4j5YfnRVdlz0UHnZgsgfatWWLvZHlkPhG+F/smAY9pOoiVRrTwbTtEd9Z3l6rv61hpTwa4cwrR
G2yaKoj1NRExC9wlgZeJeK/K2lw6xm2avusdi6THurPd01z24A8nBMoyIM6onDSFvBo1Tc2B2nkd
PEhkhL+QeqjXggjYDr6SvavsyjegVZ6ZHkFs2vFHU7ryedGZtOnSbw6Je8TdTkLElINiTsnd5GW/
5kpJ76cRdu6yiL8LZTCi073vcR+3gYWbwiPJWw3cvJWEsVURlU+Fu4sr1XhD+fkTi2vx14SCSS7o
T9r32IM7CcH6WgCHGLveV4HU4Zsbj09qraUPDSqVrbUdGgvXGQrnCY6tV2yHSOgoXSZvdQ4Zn8Co
aMj+shPaiH1mjyx4NFN9nkmt7j2dXPfWtAApXsvMu99aA+rC59GgGHuyh7uty6D64OikdrNr3Vx7
9gajQ+WJgGhtbV2Y8AF864o83J6wzj5ng5mZtUt6qrVopX2K/nmOkLSaqXjcWnWpxfvCjarD1pzY
2ZCv7vAa41JP1/rnVClQCDjD/Nmnz552HrzKRsnLJduBRcmBW6N82J4Qu8q8zxvs0LaTrKpxWdHJ
PqyvpqyHaSTwp1A0cN6uINQ9hlENBerrJXGBCoGv5p/vGW+6Oki9+XnOCHfMlqY/t5EDW04mYVEm
zHR1l/21OxuuNGunJyexn4rxt/AW44WYZjAb1vTEPGG8iEn8SnJAE9s5QrRqAJzSO6EYNV9srUPP
NXjjfru2MvQ4bHDU/B/Gzmu5Vhxa109EFTnczpzt6bTW8g21Ijlnnv58iO7G26d7176hkBBMG4SQ
xvjDWhztZDI9chUYe1d/5HufA4Yph+Tk+MwgoKIFT2KDOEq2LSI320b/1KlDkKy8wkG821SDp8Hr
QXm5Dtrf+j72A+3ZzhrtORolBn0wLUdRDCWnOSoj8BDRROlM7ZkP2GAlwdw+rUgj96i0Hszp9MIr
d8DdXQTR4bYVUmM9iU0UVox2VdcfLS+0nmq00W99KEEzx1gNFKQHOzoZifNMZxAR9O9oybGmcet0
Deq32nKD+i3A5r+uVzZ/skRytzD7AUapg/QEl07dSUrVzEVRV+vlplT4nomS7FXZfiwA2M1F1eWs
Mdm7ADceRBVeWKTzmlBe42vvPYu6YXRPSsqLIUplLbWH2igzWvCjYtOaw0MOOOQ6V8GCPHbM/1ea
lQaPls1rXqOdZQ6qviK3S6ZY67wnsXFkfy9n2ngTpd7FPico7X2mxkG0HqspClwW1koczQK+8rGh
EjqronC31GlO9NuRZT56bV7dlQBu2W+r2Rl9JT+JDf0IBY+WbPVS5+rda4ljxAVFH/mp9dzwUirm
16VBxDoF5Y2q2i919oawfz9ftGo7BCuQEVobvTlcMNJ6rDFeufENTHA0T04tJIiTKJnYS2HdNB1w
Yv9JqfX6+KFOnGZU2Y+ydr2NkhcJIJ/UuouNXRIltCAEwFCnLpclQLrkYspuE8FRfS5DN392o5zw
mhMGe1GXBCmxyhCIuZ9m+XooXLyYg8Q9isa6Zr97GSrFmg78J5fNehszzOK8F5TP5Zg/1QQKr+i9
4sQVIXKr+5ORCHRQvB66s9XoLTeAgz7wqQ2JVJBSilk+y0MZPlShfRQHRRUmOArB+8o5KkOX3wa9
P5ulj+3K2Gmvld7lJ6cvG1BBg5dcSy/fpvlWkrt8U1VWuVEwTgF4hAOQPnm9tJNxS9i60SXR5a1h
Fl8qzc3gw7cXN2+vRuuh2O6Tk4KX8MNtwp3hI3gQGax0MmYATq4Uhz7AbtlOQbCVR7n1YE5IPphu
uVU3NXOQdcXsI3Xeq1BNViMo4TVOrxBJXb7mItsHPgZ2vQ4GXZa6E4iJV6W0gr3HB4EAtwwkHZBy
26pneURrDgsqjeQC7CRb2se9+sa6i8EG9MIm1+Rb0sTHQbKkS9Hk0GPbzj4mLQQ4TXsNqy5k+Wez
TgbtmbS+/TwmhnIayGgT76gJJmrZKkmHGs7USu61Bk0aovXQiaqNk7fRqh75RrIYvsrtXfEr53ES
4RsgMZhDocN79LSLXuF3KnXIBWfBG5quL2SENkGt5LvMrO1zm+ACRiCA3WUzdCjAm1pxRrTsCwiL
/ujKdbvLLd9dgdRwb236i8v4J+RWtBW6z93awphpN2SSckmYqyZGL9+1mCt3RTJi0yY/Y8OibhNp
3GaRCicPn5pK6cpT2bjlVtbtblNZmF/Gdjlu5Fr94vX4B4CYarYejr2FPOZ3A/jHvVD1VykMikOC
WuMFmURwJXxTtnFl1Zc8y4iSqB38rdFde8XQXgASHJoSQca6jNZpme+dpHeOqTYU+HMDiDJb3cci
F25E2TYHo5gQgV6jbPUOF3MAwj+QavrOKJccdLLka+5WuwYO16xRZyOCR78xKwm4XlTXZ4UtOgnA
tdCSYMXeaHztNRO2jfyjiNQBXp1enjuABkdpCnho1V3MqJVpWs0UhW7UkAfBm7JAixXJiKCr5Vc1
+d6a0i2O4fkijrKOwzvo5T+jrRUn8m8yX8KoRHNNPg1ZoTzpMDx0uj3pXrPsIvA3VrHWUj+4NGnh
nbyeGUai8P4OfraG3pkjt9dNvTfHKo+pB5oUVvA64A+w1SJiqGZRlnvfHH7Yk318b+MuTiiw9gmF
zmCHCoJb2ZrW0Wt9HCE8yDQKupxKVk6Rki8QAdJ1Fwa/qiQ/EUbWD3zL2wjECvJW5Y4b+qeMsYjp
CcOTfcCUoy6MRwIj6ioEXbZxw+oZvzU4Znal8RJr2dEvGQdDScfzr63WeUNMoEwf0TSVL20QKJd6
2lj6YJCqh9qRrnzVc7d6A1LPV1RWKJLVMPYa1daLInsNKGsXZN4vicwDSgwBikKEMn62Rpe/1cia
89E+NKmL74kNp0n1yIHIPfRUh+nx1asA8ox3ViT1mrxnkeu3so+TlUwMMg5ln5+3jAlCvRkgFz/0
DgH2Um0GssLeE8IqfD7rAoSSi1J0jrLUpQd5iZU02CyCsQDGZTg8ek3weoy9nelM6rNF+8uz3QSB
Mg14o63GgBj0FOChu/dHC719CPOrRoHKVP/uIA0GwH63lQOcrzQtos7WCp8veY3QdLaVswaEciNh
wKLIEvKR6MV4nktiIbefh2J46n2zuhBqTNZjMyCKltQPsJefiDRXKwM9+aMz4OIXqK5xnKxgJbd1
TlLk2idjwungVvu9sp1LHjDM6pXEMBYXxWFEYalW/PcOIOq+aJp3vA80OMGmt5XyaLh2eBVdLILH
2UQg9mL1ObbsM/iHgVl273IHu/eeVTvRDQ/4UohznNZgVpVBokjCgkBF7elk3XLjUNhFtjIirOeA
rmeA4hwD0A0fgx1k5pOVkpRSMzS3kI59zo3GJsqTKZsoDPf5UOv7tiycr7HzApepkWv352iWGzjv
fEudCSIj/Qy0dp0aiXdSe69fq4VcbVipO4cW4NneAAcK7oSUlOSyeGsg3FtYAjaurG+YAV4dDH4f
4w6NIosSYjLRtta9lzSRzPOyKbrMmosmM/+jWUIRK0fjZrjMHZ3OAMdoJwA9C8fZuZ7rrH0H9TWF
oW/Nknmlyh6voqtr57EMSZsy+/gVp+o2xU33JI/INyEUdce+9LcxOURB1blggS46I6szPsTTZhLP
0dMeO2G9rO9dWw+3OpxGbkpO7tX3MmCqW5TxPvcs2V/HFo8RTNhRqll/NG3MzMMI3qJYRedQzx4N
rTd3fRqw/p42rn0dnQYeWq2E26q5x1YVnXyWB6fYtYKNlkEAgI0dnA1Tv6ueBnvD6elRWLh3IK6I
74XbTirvo+oSXCMGQ/9H4ExJDgIDZk4ZaajCwBJ1Y/K6AoH5z0ZqyBdhXn7IHOwyNB9JLTcHqdEn
Tk2YBb8GC9nzKREgjVhsuyepwHALjkSzjRw41l4LGmvwuoEVp8u5hEYuCEof6ajZudKHR9kfe6gd
rrnpUaVZD1MRmYJh3eo8LD22AZpZfgyvpEF6clRAFzl6dgaRcegGGCnAlW6N3tylGv8nHJ6jjdoU
OAAKzJw/EfgN8GdbqxtSOAWjfetjRWEq2CQPDqm5U1gVbyNwo1e8NkAbZt99zN1f5RQvGKf+ZWcu
nVtECawpVFCOKiudmA5lObZyFZuBTxgAK0fauKI1GuAek0qxlQB7uiAFhjLVT+Iy2ai8BKWXHpMw
Z8juG2tTGiHwEFIKgOCycZ2hmBZYGe7EkrnGDE+/dgqU3hKggNQArIoqfg/JEfcaEmA9RKP/5iMF
h/jobvDcfGNZGE1OyLkNAO1NpPB00f+NJdS3yj+sa+pz3SX7si/5TIIKjKzI3ct4yxJ2hCpYHi3/
W5bm2hck5FHk7J/UyDMOcSc9jQQBJnqrvC/0yXggfJcb7RA6vU+2fuOEo4PZvHELSaWtYxX50lpO
Ef7TQIybZ1tXh4sShy+9zCrVLzxkFH0ow5NJU+GiaxNV/B5QoLdZAcJLymZnkvAGy5Wbs3BEPPxp
Okt5BrZrI40tDSwEdMZpZcLVp3FbbbLYdB5hAVgP8vAyguB71AAjmKmH320YfcmZGCBfGQCtzEmm
iuIYqwlzvjwBoClJ+6ixfeZPWgz8xdikXqOtsRdvD7AjspdGL6tDD1tkLYoq3tbgjUtj5VdShblu
wf9TN+ZGzb1fgykN+yyMxzPCH4/tCNhbx1T7wUPK5cGrlJLMMFKYVmvFW6M0i30ODVzzYGdIERJz
CX/exNSwO6SCLZ8kY+atrLFPtqyiHzTiHIzimyR5aHzAYnhavWBaVh+TCTOTT7g6H4TFUbceggk3
WmqDfAQY4U9IUrEZ1OBNkjR3G/5TJepF82R67cpT7nFfnRo63SrJYrYC6FmpIKeVsvA27m6QNSaG
/ktYgRRwn/vKi3cedF6z1uAWdf0zQuWoG+J5N+tqCIyQwA0lOgsGO7RQ8p60N8SBxo0hSfY/Brvy
TuCyjHHLZJW/ROyKN9oo4JIdxG40EkGChcW/15UZaF+7VlEQyqX9MEEKmcsCHGqBW3sVXg/uKpKU
KY5ArQcWa0tW5ZslpZsIj9f78EtvO1DM042rpiuKvQWfaCqRPG4FVFFU9mMyJAfREktN7gyyiHiz
i2P1dBGxh5v7sDKtJN6IvzJCa5oELMJnk6vf3qvkvVAYsZw1JPfuCIbzZzM9v14PrEOKGrXIAYtN
JO6/2A1ZIpPSwvhOFJOk2Pu5pOI/M/1NKbhPD++Mg/hJ8Wc43oMfFB3iJG2xdfL8lzgv7j045tNj
nJ+wqBR4KVzvQ1aXkEaXuj5Xmz1SK3gyAfqYsb+iN0C7JUPdD3G/ldXyu8ADi00HjLop4dcRT0Vy
JCk6EzOiwooZ4+1qK5LeM87Ll733Fubi1ql8nqiJhOiujqpn8ezNyH7oiPvsxlJjWDdwET8Sjpsy
Zdkptlj+1TgLA5r8+6GBHVaBUFfeRjwu8TTEHvacpHXFrugFhq+65JWblZO16QlfRwf0mdidNhAR
6BvSvlBYRaEvGI0AEYA5x6xoxu2HXXG2hSMFSGRbS0/z7hi3oKHM4CB+r68qYtTVJqyjL2OvnsSd
m+8S1NJVZsTDRtxrcVeiOmP9XyuIr0wYAPFMxBliT9TN3UGUxUaLcQypGh+IJqKPXfMkHvzcNcWt
WXqDOFIS+VwVYNg34laIP1JtS+5P7WXqmgg6s1yj+FFPtiHIXc73V0+tdgR4pe0SZgP0umelSGuY
tv4uHSE61+rwpE5Dh/hsJ6Fp7UdvBAmM695Khs6JEm6FnpARpdn/98Mf/gaxi+0VZHfVV+eW89ND
TSYFaaKpGzEEiO97g9z4wQSQ1T/FcHnnmzvDKT68NR9AFZ/voEYaLwtgTY4V9t2pMm5D23+XmkTe
LneYQfCkWjaU7mVwkdvHBBPLnfhbWrd4iM1R3qHR2I7rKvEvdadKwDymcWh6rcWZYu8/65wmHxEO
8KON6AltGO+YwrB0mTqC2iPtpMOxXrrP1MAsRhro6rpDgu0genDfGN1hSA2WJcU2tTqMj+wJXPmf
v2tm8dH1wQo7qQZcYQKkLH1vDK+2OgEYtcwsJ3kbhrdpWBY9SRSXuozozzQiGepobV2r6MCsxI+W
JzFGivZis7ytH7rovCuOj4XTHZxKX4ueMJ+CrcBeeqsrEgRiLGTBXu1R6D4ub/jSl0WdKHpTL5Tb
dlcB0tv7VrATx3TR2UWL5fzPXVCUxVMTe/M5ojzvfjouip/q5m6bF3i9z0MPtnIk+GP96MGVW8XA
Y7IYkFtrgnCePhyqA9HUU1moDuoOHwry9MwLxBPvTBVjUOshHeu7xdyA9eFFJWIxytmqhjqRAkrp
yuZsTFjVsc/vaWc3O10fmUpUqryRvYzYTYvAzIoE704wC4Z0sovUx67ceEH+YCXFhwcvflX0g/l1
WsqicukmS18RTbIurg8t9oOiM4pNOQ3XYk+NoC/pIZwncffFRTLwjAOYFbpd60KrX4u3BFY7tWL3
Q21na19TAxElsW4ZHEfbQqr7Zgouhc8Na0IpPhIHhxoSTviGPlJfgxa4OzImW3GPxUY89nCaniCU
yxp5iH+kg3pyQi3ZyWN/jvQcgTKnOYhBRmHUruHs5qjnbvzMm78AWv0LUn5yFBcUT17sMdLXExvG
DLpfY+c8Yi9nz5hlNzKfXTzPdqnoEctgICuydeS85e9T617ZtAPE++Uu5onFSBpNn5nEToyNa0AX
EqQSeAFfwSVrzMQd5EdFE3JrUE40dFF6xdjOOmZisgVet9gPtnUcAOaQz91Dj0SjODDXCY5h8+xq
XkUFipeRc1OVeRCGS30rtUjbieuLv8s1g/5Yqw+jltY7Wdfu4qkuj1bspU3zM9SGYNVnGUr/UMj/
WqAtA4ckvv2iPE/sWJ7mONKwfADjv1USM4WdX6fdFUF2/QA0rTgJ1k4XNMWJvvAn95Nkfr7iSSxj
zPJg+ED/jqFn6oNTbgwI0shiYPkdyhkvgc0IvkEhcJtzy8STEd3ak4k9GsCD3QzfkH8Gc9FgGdGX
Jzl36Gm8X27CclTsiSb/+6WYq/Wwl67ifRIzBfHHiOI8F1/KYm+uHANsP5jQIswgJrpSYx5kPBZF
E/Gz85RL7OKwyas275LX/gtWP38oxd/5YZYxn5un9hpYwIWEIPYYfOjF/JXkCKFr8ZqMGXIwa2/Q
39FaIZ7st9Ehq3xf3orm8647fUEDwCB4h8/zONFTxYxu2Sx1w5iQclBQilSAiU2TMPHvLJsZJSnK
H+ay81+fjz1MnGufoevWsl8BT9+ZZKnGNXq9GUmoH7b4Q/TypNqqfBQ3W0zqxN5y75c6EkFoXnsQ
QJbG4teX4nKu2Fse43Jgud6nc4P0tUGogzGMMVMMnEi4gS0SZfHmcccjlvHT8fmPH3MlWwVSJ3+Y
RopHOPe88bsH0f4oumugyhag6ekZ+E2D5IboKf++K86ehypAOdXBzuPNZyqIB1NkWcJ94oQIgoc4
uhxY1oDigNgs7USxc392Spke579+6skz2WN5Z+b5zNyZRa2jpg35k3/eO7E3txK7n8vipPmqH1p9
/oHPZ0kKiY3afFFGpGbFuLLMHsS5/1a3NBFH53m22F024nksRbEnzvvPq35YzojWouGnn/q3uk9X
/fRL3jTgYzRXNj6MvukVx8OZXEUxzmtV8cKLDaEUyJnQiFi8T2G2ZbPUjQmeoNDvaFPUGrtzIzHc
iosvTT8cEbuu7oEQIgU/92jxsixv/KeXanmBlhdN1C2niTP+s+7Taf92+fl1HdOJ3J+FoP36jY1D
G9PaaS4sPlzLZl7JLuUPsYp/a/6pbl5PTJedf0Fc51Ob+Re6yLkoUvdHbhx/LYYGsQYVe8s3Wowh
S1HsLROypfGnuk9F0c5tEQxofyolkghRZkLk4+Uk9870VnTheVfUivJIKJtldVIkO9XJnpfhHTAV
tPGlLI0TjVyUxcjPXMgjomQkhj2HjlzPqMe1GB6I/iPJWqEM/BddbR40TJkYghhdsnyEhIn420Y8
SbFZhltRFF3BEov+pc3SDZa6T11ouUzvVTEhCxumVyeP+qax1Hhci/VvBMCAcFHUv3h1F+zmN17c
lGUzD6tLWdyu/yyKA8urK4oegZS/hm9R/nQFUTcmEdgJJeI1Wgb7eWI9HxfPZzmzwquExVtyNAiM
aFOE5MPKcWkmzhUbMTFYimLvUzsxiC51H/5xceTTKZ1TSNtRu4IKfCyhUuAaIFoQKdcUkBzThyvH
Ea9+FkOXm0RJchB3Jo/aNDmMsrWqEss4iCe8PNH53f8QzPwwVViaij3x8IOsJaI3N5qDXKmF6IkW
BsikqGhld6OTk45BzUUZbuIVneOUogf0oxpWX8WL/FdUq5S9LdbZpE4qkoNpmhwjJIJhiUNaE5uy
Ilu5Wsqu4Unon/nGKp90h63RwICMAXmJfBiq4u111T0LzrZBAiCQ0a4Rd1U8lzKByqQW2UsewjMR
fHJ1esBjjehOPcczP91+cVM/PKJ56TrfdbFmEbvzax6QnBwdfdiKuyx+dtmIP2Apihv7qW5e1Ykj
n8mcS0txePmXVN9X1ybWeitsDLGK81L3rcnCfq8hBLhVYcxShHqGAGl2xGeSo4ZK7kyzkOmZjjoO
ME81ivBuKr3nQEn2ynQNOSqTa+6V9Uq0GpukP0hjrm/kNgGk13XZqgp41cXGSWx9bToAPBUwRZc4
sndy4BvpFskgDJdZ2W+JSoIaHqxjpXrVA5wscs2IxkI8Tyzci0L5Erv9y4Rof/IgpTzBvyk3qMb1
qHJQFHUJgkdJRHqi7FGBCM0ifgodC2VBvbkOIVoIFrCFnUpuf+8Y7vgYF9VP+I6HVlfytz7VcdWK
3fc0Z0pe4gN/cj0ZpHhSvbTOaHx3iNaT2XU9Eg5KjTpO1628qiy/lCOYXpbk+asqx+YaRR3gVQGy
XXI22QLohJLH1CjQb5JlpIxCkkxVDo4bI8bi1k9HCCVhJtDhKOBHyr7KzPw2DlFxE3tik2SZhe5Z
miIsTBDeyEJvkxfID7lD900nebav5UnKL5ELDTsSlDg2UwB4Zbus3MIsRPVahvCpuRiJyigYbuok
AxPk1B3r4SqzTyA1SK85BNtrVL+Gdggeu2kD0SV4dOXoHVlN6Siq8gSTbnQXUeXKED7TDLI1lvdY
oYb9KJMJfYwlRVkPfe+xguBAaDpAq2KTe5liKYqH7GrouuamRI3zME6bMgG2Z9K3YFfTYjngq0m8
VnILV7SO7Iw+YDbX9yq6MO7vIQrG21wCzYHyr0WfW84vAsN5QGUmWBd+vUL3VNtaiqFvhqFK0XgD
TJ9pin4yLaDOwFqVjWqqUb3CCh4ZDBzAc8fPLwVUu0s1bZYi/XMfZcRQO6SNTLhpuXpKRz3W1oqu
KSexyQbv78qsLaT14MByd/yYYDOiBi+tC2DUNvv2W9SlXzVS6eDCofvzbunwmUEmglbIClRi2vE3
6c4vfhqp34YqAq2AIM6L1yfArtHBehgVcsnGEBnnwk7bk9qG9SGOw+zGI1Cg/NfyU9VLdK4k1q+y
1r6UqAZd7SB66MyigvoqlU9hS+LIQuxxK4riAKnQV+TX023Zr1qMO1bD1DxUYkz5QrBc03lksKmy
JGi3jBmbDycb6bsVj/pZXKqsdOVmOf4BchhOnQmyaDs+OMVm+QtqL/rj+2M0X7fUxvqhauptKiNr
s3axWG695BmjwpGgfVaxVjb1M0SL6gnueXsjdHwUJYx26ydM6yBDJT1iTVMLUWdp+eeTIvtFttHj
wjUQoDa0HyIW064Eg+6Cflp7KTvCynmM2ok4YKFkcUQGMwLNxq1QdaneI7aprEVR3J4klqdPlQUm
bLo/Zt8DdCmmiV64N/s/878TR6m7N7MSztl0/xCcBpGXDA7+9PSZvtNRThG7YlN4Iwz3pSx6W18j
IfmhUhwWRxrIHZvuAeAMCDwPnWti9d/RD2VQUsuvZen5h9bsPDTe/eI9z3fieNj55S5WUW0qRski
YC3ZuIUTDzxWXuBdmmnTReie2Jq7/3CgbWPsZN481wy3UBjCc94neBhOG7En6nRW2RmkABTVQiWo
8Bv8j4bilLn1cnbTYw74fzkltjvwFbKy/3yZuskQub33t1wmGrj+9NeJ1uJHhixXq0tcTzwK0o66
UcOARZHyGkybFIGJqygOrotiYeB2kNflkOD6dDiXUS5fLY3EHg56Zz58DXlkTg5toip+Xjh4YgyS
dLLeDKD4KEuJo59OFUXxwzWqowcLIfD5VPFrH85IVH3b5AA0Ph+Y/qohDyE73sfM/BpjTwpyabTj
cz0U8dnuAwAnCsqbTUKeUSZbsY0yX3mWc7+72Gr5I/UV+bkzM/lZ9ctbwwB7IzcN0wXRQb5+rYb+
l1XW6tkEWvJmJ1yKZE5+jVEzeAsK6Qt8ZO9BHNRz7+pmofkojoEU3sYQ6p7SqWVfvkWdor8obpC9
KtFRNOGbkzzLVQX98uaX8XBpPSW+9tMGcT+1W+lRya5ZjSvGbNB4U1G0gWhKIse1f8tRh3upTewS
5lL8ljglOtqKVq9FUWur7qDhmrrJdQNF/JVpNO0TpldIFxm9ug0gVL5VLbYIMny9/cSvfAMKlm/M
xNUPPZaZj7nZvwChab4Z+ffRruwvhmTXpyQPkE4y1eZbNQKkkC0jfUREBy1dv/3jWWb9DciWuhlD
XMTNyn1RAJ+hYVt34D3ZC/16O2INC1/47ypokX8d/FSnGhao2GS85J1TbvFry1GYs7KXRDLMUxU3
A5rbbfaiwph+wvp9JQ5KwNheQGB8gckrX0WV6VbkF+wu34tij5rEUXGGaC2KZWjrjyNZOlESV2w6
+Sqj9abCiD57wwguITN87VyiFQMtunRRYTPTK0H3sNmAxUPWE2nZbeF21kkcaWvX2epKZ9DvcDsZ
XUYeBGOCt1Yu2jUcn+AkilYgm8AUgvYsiiZGRPhAqu5FFEdp+G7zzb+J0tAmj4zX6aMWgu9xe+/g
B510j5NavgYuNGLfxa6qS4tHgD5bZCfae+7Ur1FYy2fACt1dVWtelRBV+SKyL6KBqEcXcZdLZXIT
VWKjo3IUmBAYykbFcDXDPTYxvbtoHkJHe0z1e1VlO7uxCwwLyy0y5vnZHKzsHDSQ5Sax4PwsyWyq
prCRmZWHTejgoqWaQfXgKxZW4IPxgkJY/E02CmeLbmZ+EEU4OkDq1ewt13skKbUWLMHUTGkHd4Wm
H6iatMddWa4BihfxN1DUyR46vrVTyX18Mw3tnNqS8az7iXXNIwOAxdSsHuTfA2jJI5825cq0TsGN
iD172oxK7K6J4FXgd/+uW5qIPUOqfxetquz/7Xy1BgDTmOFD2Y/VrZcK4NKZjfQdqC6dL9HvVHZf
9b4z3yqrRx8oVbNL4msmysZFDCKuG7+0hX0XTXstvpSB5nwtq1Te2GVoXOPcwYClLFFLQRf2FTrS
Twnxq22YrW1gQxc556Wy+/B7owAQMzS7enD0xjtJphXtg9iXn1FVKVfi8tb4Vc6d6mdD3ggYkR6i
wzhoB2K2Oaq7uXF3TDTHed0thC2VdBUlZYYyLhpVl5wx9WLm/qZ11fBUIk7+14G5jTicL7XwSAA/
I+O/kUdPDjfiuA/u8SKuFlo2lWYBnbCw9ONcFIdVR4n6Ha92MLf0FPVu6JGxl80O7vZyCcPSzybw
8pPlG9I2VjIVW6rOOhjgfY943VQXRdOtnRklw+OAj8umreXqlbdRBvpjW+/Mne9o80h/KufF7iKm
pH1m7O7PZp3pP+EkIhapM87T+3hpk8iCpOKN27Ioyluo1uVB14ruFNi1gbuvm2NL0FjoYwFWZeCD
manmyGK5rfst9PrXKNCl3xJIy/mHklRBKi4zfg1x992XJOurYlYJasfK+OybaIMzRfEeoFDb+2QS
FZclNz63cWjsCQfEDzZUIDDOlUH8jIHMdEf/GwPwO+RD6Zfq4YMMOokZNpPwyLP13wnKyGrTvnhY
c1T1U9uAWUanuHpxataETVsoD+A2GuA5OCzBu7I2BNdc96CqGh5UvTVJGshxch6VJjmLPcsqSQEi
gXBtImRd8K95UqzOeUlj56syhNJVbx2He4B8b+nH5UkUGw3ludQKm6MatghTKczLjk0O1C2rbOfV
g5C+KjpfvrZF7r4G5fhNNTz1JkrjhAC3VONBNHUU6xwohvsoSn7r7es4j5/0THVf3ZFcYmZUz7lm
Wa/uvncT61vIp3Jf93K9t+rOe8/UfdmV5nsOIgvLnKI8dF6XfcXmbt0agf3EOvKCyUN2K10J8XwP
8kbT+spqrpsOBBkZZ5x1JyZLv0fsaOAlQnhNC7Tfwu7QQEzNt7zmdWlQaaW2KczG2HVYCt6aaUPH
GDYV3sgbURQHSNhmt2rEbQvL6jNgJ37ZawrQDRiOrojdZTdt2phI8Z5tSbumVjE+EQX42uTB8D4E
E9Cjhs+BDhSSe7H6NRy74b0vA2PdT/XBVP8/29tILi3tXdvlOsDT1pVnI/j29/WX+v+6/v9sL35X
LTqY246+1VMjXHcs2O95N5R31dLVvTnVIZdR3sWBlMXvXCeaIBRZ3fOp7tO5fDmRs5KcfajyTRQb
Y2JbOkUl7+gZyV91MvbRTqrvlmbiYB86zqos4Rt4+YOU1AaESThfvVJ23tbiXd+06Nhskl7JHsSm
13leWfumrpSq2Kp+JF+8AiIeg5QooNAuX+ppI4qmJkG6n8tJsWlZrqH1+PdRUb8UxRmiDm27cxoA
aFuq5ist5ZhBb+zth5zb9b3F/gNFMudbBJ+JTpWnR8eFS6r21tNgts53DQE6ooVO92DYNoajEXor
WSwHZF9hE0M8Pla5tNNUZ/yCIkO3b7iqEDx9g5Z1FL/hJ8D52qI2rjhhOze3UUh0TdfGvOJB5a69
ghsxcB3QtJ1a1f1JLX00u/9x2JnNdQw/g5zL4kscEJsWre6tDcgKJnprHfVYzxHXqd17YkXSHYHo
ZqMeHGzEonFE00VDOwYRcktfMQWBFxP25V4qknbP4g9ZfO1PodfvSIx0X4IQJ/ioqduHoGqVgxzW
ydHtY/3meyqeGFI+vsV+/AfQYfKHk33s4E+SrqOOhfXvHT+ZvdY33q3IquqeTRtNZnroZ8glTg00
daIiVUA2jDq/KTG8eCST5W3nZM1NtBfNMHjaYho5YICGOE00ebIDmcdLto3uHmIdW3wp40dEhzCI
MDBG0xq53+GDVt4Mr4n2BdSaa5RAqtB6fbxYNshi2PHm2Uq64JghZXx29MA4EvbITs4wdqek6Puj
JAf5OdEyjH3cNrhElYvEU2fZlygf8HotCZIETeTuwrqWcWCQy53tZD1EV0SXEYBqH8lP5Ns4tJq7
i9oTusFgBxlxQAMVbfs8Nlj9YO7cvwQG8siNvmobn6CUl8mvFTnotd/L2ltv22h5o3v6Be+ZdlUE
Q3918aFCgjqNN8XgByhhoR/HtwnChxuPP6LK3rr4kX0le12haxNMXPsxeAZL+icw5fGHFGk/CPxC
Lzc8AuWere6Smo+z2+n7drqCHeLfAQ4sx+KhZ0FlDoh0AjH5kYFLVBv9uwPWgCVg0p3RRu0fy8hS
JzX+EdG18uoYQ4MUMm8AK6P8kFQKQjKI9/W3ELUWJuX9IdWl4MWVHOtmKbBphRG8r7dQ7gy3O7Rx
N3zVTdZOiuK92BlvijKkGbIBcv81AAC49fKuPYiz1DA6llqnnFJL6TbEErMTjKCQpeqEDDYcDDnc
ejVX6QOCiKKJ2PtQaU5HROXnI0vzPhH6hPzAch1RVxQ2PDQSeOsEx8CbkddYOdZS89ZgYHnqXTlB
voJb8v8YO6/lSKGlzT7RjsBs3C1QTlUl0/K6IdRSN957nn4W9JlfZybmYm4IXDkKkzszv/Xl8LbJ
W44oPdZFiHbObu5KfC7XRU3OiJakUZ62xSBrVBd1YuJi8oBIzrQYFKwTrYjwe6rkXJ0nJ61xsGBu
m/zss81t63AaZ+9Wo0VpLOjG+v943QIwqkKg/n+897b4Xx9t4SNwIhJy/2vdz0u2z5/iarnJs7d2
jqIn7rmBWyaWcdICtBVDoT8qjhUc9DES3lLwN1tOmdybdXnclrYXSd157PrcuRqGOIIuWm6dvkVS
2BXd6zBZtauPVvjZheIJQZHzLVV1X9jcDuCAe6FaaDE7AOXt8+QvyYw76CDJ7zpuEh47bfe22t17
qdFXV/LcZwWI+xWhQH0t1DragzNd3FQq9fVnw7aVAOs/+0ksecrO8pT+hRYZnJvXd9hesu34sziY
k+VaY0PN8n8+5P96azGl6IW04CWjRxVg5vohP2+wLWajcqT4ldz49iisSz+FGBBhHYrjixgiJCSa
dS8hOd5n5nr3VUs6DGRk/1uH0hdLpcw+WqQKrpaCcUmigPr/t7iuw6l7vMbrZFtHC6a6wxeNKsi6
9WfDtt+2rm6UfC9HXAG2xc7Ui10MFsbvk5n0ft38jhEuOKXSvKvhjPxtqOYXq2LQ3sxt8FgsxeDT
KjY8aH0CDdOa8jtbB6qSAHG7zsYwHku6aiE4xvTsY1t1MjIHJsh6Fx8tJb4tMqXe54x17xVYu2QM
yF5nRiNIrJf5M98u8sh526+pCQHFWKT8wFP0LWgz86syghuFRGYICQddU9qkhNLPZdWZ4PtIMlDQ
6P9Os3MJiqL80tvkU0iy1NwtaaCna8gwBtywJKgFA6RnvuTjc9CMLUxzBhDb1smKqnOUIwXcthZY
eF6CYWndbWuSRTmelzDltq1zZ2a3jZAf6fpOVDyKu6ypH7dtibTJOQFaIiaP76pOEbcJTkLMh8YS
321z20TJw/dFU+rTz6ptDjfUyE/w8fn3qp+tipVbh4RClLuts9oI3KTdojsFDur97PfzOcqYX1tZ
mjfBorHvkuBKhRLpcUqdihJRQPFEzdSzY/fqWUFHhWY9Vg/ZAipm27BNJhtqkCfWfRoh5nr/8xo1
EF/VUkG2+5+3+a9dDCtBQ7a9+c+7Ddh0eIM1V/6/9902B1nCR/zXnosphIcdlvR100EItr69GBsk
gihY/+uF24Z/H7l9wShXgr0j5cu/dfr2DX4+fHZSTsHA6pVTG3X+//M3/ez9n/dVv/MQbsO/77Ae
hW3uv77s+uX+fadty78P7av8LgHsilT8YHS2ci7X3bYdAtmQ5tlmty3bZN4O/zYr7R50w/jboSJ0
Ff24J9rATm1qr20a116DgUUYIzUL2+LTKNsZhh49jYNyMqNgOVhO/4e23NnPACsq8degpVhHShM/
Cgc+mDP2pyjrvps8cPbETGcbhGlca7GvmvOKsnW+TIFFdtK7ouFGDmhWgsO3HXKMLe5WdpO+MM48
IsJ7lu3guAOXHVyP+akJapqL+2c1nHgzZH4QsdPbQWkvVoL+sqbriYTOLiO7VUrtMyrHi6DqOZdY
Is4gGKq14FcKig4pet8jOmKGqU56joX60HSpuFcShrwVfkb3dXCWxCLYy62rxmlAJpWl13/rVExc
3KUc89PPq0IyeX7egFzCN1XcbxvQoH12C4qruhuQci6Pbf3YZnK8HwmEOquBhV4wJB8XWkaAlyV8
kfBZVJis4JCD7UHdW5AdusmdkJpKh35DI7sd1AkHsHUyZ8FDM6Ljz8uzFY4GXf9MSrLFHhqzaa+V
sMa2dQUEhsOCyxoJ0/+9rl8IJECaaocaF73SNoK7fJ2Ao3Aqq77vTHBNWQcXZyKGuV/WSZzp1dGe
rdndFrmD6PcJNAoEQ+2/VT/rW1O+xkan32yrbFFrcMmmBbvQttxt67aJrgUaZSKYjdsu/7UBYp4+
t/8+eFttaCX13bksTtsHb+uCaHRNp9P9bm6oWK9fctsYp0pxNkwAhOsqg7T6rWUJfwyj5KGsdiWC
4PtOVeMHauZ/p7gOTqOqXwGRZ5cJs6r7bWIvsP7BWhn7n3XZPBSYuEHmTxWRCCSNgY7ndX+TGqlx
T7Lf+PfaPjZ3SxngfhR1rVcUNoO2IMNjaDEq+/BvGYeket+UmfTo82V7VBnaeQ2ek9a+Wxyig2Gp
qRXVvbx3nFTcGfE5XBf0OPnPZDKa956s5c0ss3VYiN4H9z8aM372m1IoR9nCrXd7I0spTbwr4nsM
7/rbqpz9f2fUUsUhvcadCxW5vSubPHyQJMketKR8rIJwOm+7bRNCMs3FFqg6bovbviqUdd+o6Rzf
XrWtQ1GRIUlIr4zhJs9RQuc+K3TnHi73cqPr/UcYNFBC1vWalQ84SSVukNgo/7fdIGCeqNxH120P
Ir97JVb1c7xw/pVz3B1F6Jj3iEWtexzE6p0a2XgZTIt1v21QO+CeSkVxZlvcNgBMkbd1RsCI84aA
HBt1lJJ13Rti7r/pYFx+9o3InWJm1lqHTKuTvT3TMQHOMnqoUEP42LOkO92CjOZZXR3sdUeHHA6/
5QHUc/wguxZtqJ6SP5jIh9p6hqnQ6mWyTYhdFtyycPPUloloowqxwxOYhQQrqS8APPyfuXURvt5r
0eHlh7eGQ//daq0SYA59s81h15xTv77pVpVQv7YwbnPbZNwaJdcJg1oaJ7eVoGv7g6NR8Z4SgC/l
/BT9a7xa+7wVwu7mTdEW0iwdo9hV+PAzIUZG6rAt55vqYZD5q1yFR/2qpGnWr4A3Ecojc9MfGTVg
N2iQJAXg7t5sE63upgWDo2blb/zPrJY5X3GqwcBoC7CP2+ZhWFCIbrMJ2BmQ/2lCmQNwPkU7KHv/
jpg9Y0GSwhlJbJMS4nYU/20G9nJeszIH2CfYHaAwQ74gd2LWBRK7/s/cy+8AWkRW1ocJ+y/fUB9D
fB1vyn54szis5xg7sH2nyo9ols5uWrtqU96mdM7ccfLd9nt/jvY2t/0D1LCinQw5VgKXtLPSa36T
hvLYYdR2Y+pldTIZJKR10rhC6Q+jNJ8zfrVhTCj0EXUo/MOcAmpDTG4DpF+E4ScNIuZVlFasHdfW
+mdtcznQhl0NFoTn7qDetJAtwtqk0KVXkPjSbLr814FBosxxM50WhKKlekLkAfl+Em51ZHzJPBI7
3biUYzPdtJE5/pvoMp5uAm09cvn8katafYPkt75xihro+DZb2M6g7rbZzXp1m9smqRXUdDs50DDW
3vlytWOp9BqBDkHH//PEqhyrOMU5IIBVI7r+zG2y/eCfxT7XIcuo+GYGq4ZpWXsUt8NRbprTbbZb
SHgVuTX7P//Mdp7+LG5zjjpib4WAl5t3CSeQib62/f1MjF5Gh14a53Ttvd/Og20Sr4sjJY79EreX
bVUVGJg7hDbRyGZrMGyOBqYY+H+HsvyVqW2D+6heoAFbVWP/Zq1eG08pkC9E8hzTlQ9RS2wMtsm2
mMRQiNVY/G0IKcczxpCdu7TWgCuKSKazZZe+jk1XV06zG+ZY60b4U/uKXTOK0ZTgQO7n28mmJ7Va
wbrEI/jGlhjOIaWfKZ3vtHxAN5pe87KOXBhlFEqXKrqY9MJcw6D3qLe37jjnt7nKI6JwasN3oKye
lbrzuGVUlNDJLFZ1fwI3sA5tF+UB9b12XEYchEwbT1rrtWu6Yi8pwtDF3g94sbThPu4wosQJXAw5
9RHaBH0euNw0kjupqaY3q7PYBaLDFmbQ9rD/wdMtz7rMTkVVkb/Dkihu5Xs91ngWztke/FK8MxD6
lV1/icJGcXk4okyOytJvEWRE/QXwK/0kCSVdoVB6DROSKmipPKBs8X6sV4/oTqcLlxQFxWlvqbQR
f2O79SsQFa1NrnGY/rYWB8YeHKxSeP0yOJdwThMvxmArKBIFrikWpbFKunpQAN/q+J/PmGbWw98k
QJGt0EnlTYthHwJYN6Lqjp0WcRDg0MXS5EjLCK14O0r6YsYXx15TlxhBEo+13xaP7vXeoqqwYyzz
VKQHXcwIgQX9/v0oDkQUi0f98YPgOdrZM/r9SpgpbCLadOyF2FOizbHBo9G+yQ8PC2c+pvbDBALp
SMVTudBMi3uGjQODUvBHV6h00cz3IcBgO7QVvLZ6CXMK1VMk/nYB3jLNdF3PIC0xu2sWLX8MNnpF
y4OyZpAtrOC21PqvOoeOpHGJeuo4YNY0j9QbIwvHHCWRPgnRS5m2OOCa6MRQcPsZ6QRdIgpfUiXz
zG5FisBadietew14XvhQXl18mfEHzSnh2HyWWTsxTIhl8OjKmSF6Gde+Fvs8bIOHGeL6Utu/qwxX
vVAJP+dB7DubgeCoDv4aAA6mHp3pldsbTvQt4LC65YQ3sTotb05NwoIEpCr+WFgkwjXS45Oukslz
EuUB4oLt6XPmB9HwNKv2HiNc2kciWrGEVKi2MkIS6Vdaq/1+qafen6Os2gv7JRJF4RpJHuyarCA/
MxR7wxTlZYl4w7EjMxir6l04JR1oyvnUK5+M/CPPma1h1zePbYpVa4NfF/n8nelU72o3gGcBkGTr
mB53wwsduTqwoyTycPHMXaJB1Vvgr7oOhqluN0+5m1jR0ZBCcQeQXWYiXwCJ1ZImSTBfGfFRrfhF
gvuKDTFUUfujqocG2+bX0Bk+g7BugDqV38nytmgp8LUs+qI5N/db7RkLxeeBfkmqLtBSx7MDMnWt
bXRTb/vk2qa5t0iZ0QRsBtpf0jcgTMz3ZDRuy4mifeZcpMZuuTpedYXon3t6shtwHe6q9hIsPQay
xXzAntfEXbaIjvNvnLPJVz+lRf+h9hjKK918LxMi/35Zcb0liUCs0Sn0Se7QBZDJnp5hwIYh54TX
lD1AsORz4CC5TYUpsNDFqZoIsiKp1l534NgrfmaR8MdS4KxX+yY3gge8DbsdpZ3Em2rr2ZxyXy96
bgQCDG2WveFxn/mqQ8G7bbrYbdv8lX5RRI4dY+gpjfFLonvTbDASXn1i6Yyedq3IXoD5P4BOs932
dTAh0NVxiu5+PNmx9l2K9DuPta+21jELbCDzK4yhyHAfirGf93ZOsSBW6WW3M/qIojl8U8mCTjmw
v3EuH5Wkvq3XRFUxr4XYP3prYb0w8oUjWmXbQbpw75rdJMxV7lzdDVHixqVJtmRt1K3D6VSqPBRy
eoRM4H2wXrhrmqGXqKcmj+8sGjHcKitv87T8m+vWqa7NzzZm4DXJ+8jOcl8q2ZFGFfJBQYdfyxig
q7fHmw43sxBUtV/Tgb7r9QQizzikvilwo9dEN7vCKCY/0MWXDdkoCgYa0WN9JzGV0jrLPMxT84TN
G2XoXB7IAhyMhUxmVDwXk7KXuHrv7cikf5ieldjgNBPlm6OUyc3ghZG9MsR+DXoEbTx7mZcu8+HP
gAtfvsrJfNXK+WEwPS03670ZTtcFNGdqQp5r8Z9UTfNagrG2yxbOYKlRUZPtKQ0C2rTNwxgL347x
un+f4+rDCbMns+ovk0lPozK+RF12bOnBSSfOiaRr9yDZQNMMlwhwIA1tgNGazPDTihG4aHy94fqE
Km9kx7otR5K4M8w4+NBAA/CuCI2PuZs+8KbOXSsTz60NyKaLtfc2T79GcHp6Pb2jL/tD2y59sfph
GeJTL/OnGRm5lynlr6oHXh7DYRpSOqo5Ho8SE7FDSRmAnj+d3FG7HChAAlNrT2HfP+BphIegTX58
7Kw/rWxBU/CExWMbq/dCgvwFoOwKOWJ5qRRgm7KL1hUPKWgeV11GYycd5zCZzuk9bwH0QRs6lZPR
wdtPaZafaY+I8NHEjf2MKUZ5i26YFj4LbLrGFVkFZHbICnfGl5J3l1QZ33q+FEO/15gmDEif2YvT
iDN3vkeayyq37y0OfXir4kxfGtqhS8bjVAb79tiOxb7lsHCTYORP7XByqe3FxP8jKGCruo3JUh07
/NSUFmOxybmkJazPXk+ppxT7MebqHe3gT5ZhoZzSn1ZMzavZdxfN6e57O/Pwc3iouvDDyBk3IiHD
umHM3i009fBJy8GjNIPLg8T6c+HcoCIANr4gbGjUkYhm2tm6QoNxf5CMM04Oo+Uyv8V6tCEOiBVy
VVwu/avZkVReMnty4fDcZcnUurUFEVCRNBzpefhUmtmfqpsaN++y0a+dHsdIRIdNpJwGxfll6QSR
cwQ5uwiHs94SZVd98NF3XHdLr+1NYN5WO1x1sneQU1IfxJ0pMqqhdQBKlN4pkLuvMAhpdApJoenk
DptB5yBbHEYsTxZu6Gru95rlIPi3bXdIxtzPH9scRtSQCmWv6TAb2ib+hQF8F8C25wFHJPngfCtT
319UQGSMxoyjHXRPQs5gN53+Q3aQxmcR0/fSfzStsw8HkKJtjEexkzp+RoqgocCR0RjvF4rg4iEI
q2Xi1SEZgV5RcjLW6TFfBvuEyeSrFQPv4QneD9W32hEbzyOXZwlfJ4kvUpQ4zI0wFBNOlzr+pXL7
8VEn0dWEf88S15cwLv9iMhq5Uu0pK+nPQWtjVFL8ViHX2UuDSkLFESyIbfw5i2sf1meTYDHsitvB
oWiIvwioqysCohdi7RebooVnhKtXhDZ9zQYjgNQeplvb4VFjzn5q96vDIE9zEwOppIWjWr+mWs3V
MXpmsyh3xpBPBONZ6kqbGMzM6NsI478D+ezubJQrIcuY4L1N47NRjjtVMyYCK0wzYgu2g9nfi3Gq
TrFI7/WQgBxP2kIzioNOZqqul5GANhoOiLT11sx9EkLPZhT+hm8FOzWlZy9Sa64AThrxl6TfZ1ym
p8DUJ5yBO6qVt3kFxgzEvXQzum2PixE2fgsR0xkTL1mMa9M79Kb2fwxxg9XyJcaYtSAJDfCR3ru0
2iFlvE8GKfdKUb8DWbjpiwXic7kimj9qiXH15KiI9cvouZIWkRA9UDZJArdWQuLOMgYzSQt6YR9o
WjKwhrRGLzER95gzqhDjM+lBQA7jjGe7qe2lPj9pinmpE67AiCOcSkwlqEr+Maxg8LMO4nC+i1Tz
EJvTxzLd0DnznNGR6uILUu9yleOElfgtSgzaRhbG6yZapW5eU/DGq4DMt/a2edBD3rT2LNS9ieGR
6xjiUZZyPwC4XW9SpQsHFSnUTAP1YaXL4f6RcmMT+hl04PsQ6b81U8z7QBuAJSMhhWjI8DTLwNsR
ERoOZ38p0A4QmGCbGKFfIcbv4ghGUqr/1c2ucM2JdL8BNYn7JilEA7ygpjzEtqJBlbP8FJdTVzic
JZahfZJw+YOHcnUeUqrWGoX7GauiVFN/AezLfVplEFDqqq+kpbG+YBeTI/Y1jcK+nR6kAZdWnaaj
pQ42cUBSeaDmWugp3Vui1uCou7OIOdvKRrptVj0nWYEcybwBjOkvJfHz2Dm4+pKkcM0sOow4jkPt
XG5NWtgr+T2rzleVL4lPI1vFado/WMX4brXjFyTR4zLPnqmpH+UUG9CSRxC9iC+CqTHgk4yFRx1E
qeTjkFoPfWsjy0jy62D3FFBqhUK2854YHY72uf4UdL96qYDqhiGKgxiOO4oV+FNUXDNDXqRqcumG
HX5O1DEaxbqrGHUMZTH6UazcYzjyrA24Yjp9sQ+j+VcUGAO9gNYDBRUMXJIAZvPyZju/bFPQJKKt
LL68m7yuSwiwCTDB14V+opX+DMUWm3N3aHrqDdFBVMW1yJ7B5jkUO4Mj56TXVJG+mxKVkdigsqsW
Fzuhmbpn37QhwE6SfvQu4A3u9PScFNZurJU3kWWUWnrtEEww96YAM7wMDFpt9V44dF9RTeu9oZ+I
L9oiI8AYLdcgqmT0Nd4p6YlI2oA6nOFSFTueWg4mH4MfQuYIL6A3t6h11bPt5Hu2oreIOuU897kn
BtiAiaPNJ2t+LWWc7QLtkEkK0gU6VDSo4c7EB6aU/VtahGuGmpF/kPCvOWbj8UCgVtKoZFrxqxOH
BBHpbKbP08TT28DVe1+NhByD2VEmbCkPR5hEO5YDQ/m7CvDISKPqtgujvY6RyN6Zp3OVar8zgWA3
SiC/r7yhuvuiI+mZgni5F/SouDVX/M4RFmNDh0tpHNvbYt47UIDnmXQ7/Vy1H6QhdLYSWWCNEiGj
qpW0aP+ygFxIHH+XQXZRLAHUPKlwFgoMSk9xe4wAbLg0LVluU2rfow52KntWTavAcUv9sFRxtJaJ
/IlDN49efZclqFN43d/wZj6JqMd9rUW3C8hhyL5p6uEGC4VguWsiLFzvJ56mXIoIDotPWmJo/R7+
4m95GzhYLMfco1SMzvPBenHU6Tw3wEjgzOElrzd3QyM/C/4skCgPcepoB7FaLkfVfMkMBep7XPT7
OGacphD7V9X4wjVKGwhN9evt0Nw14XzgdVTB+xDwbXTCVug5VTXh44B1eEFIGrhjHdA99O1Mr7Wt
v5LbfrLynmiTxlRjoeMM62qkE+csdRimcosKdAJerk2abMn11g3tNe+KqX3UKr1UOT0TJGx/lRw8
txj1B5GlpAyl/jZQt1TDcfBx/1l5Kk54iQz5FC7mUc0I0GWIKR93JyIASHuMYW0Ndmvd6zQaQxIm
YXXvROFD9Ycbb0DlZ0RZOUXDQyYZqZkNeppkxBZFKm9Rg1HDrJX4QY1PAEizPT1c94k1XCgrIPQT
2a3Mws5nEHgZV3LrrD+qn2Fhf1p9+9IqnJip8YL3xaNmFr4M8SnEAhgKOEay803bcLUg66JD/Njq
ylvfGb+FNZBXptOt1fGuSxSSMQnPf2uJdRQTw6nub9MaDjg3ANrgVniz+h6sg1dbhJcFUiFI7Uuq
mQuJu/arqqd9bYmXDEti14r00RtLAm/FoJsh4GwhiumL0kEqLhXXkNlNGXS/C4mEIuoXoJS0PzX9
o5XJs56braeJnpiqoP1eAVA9JUL4cvXn7R11hxQcK/qk/Iry6Ai44qaJo72SGt+R3ZCnaqgC4qSK
lWJ80ObqNjUxFG3q7FQNWKb2SrWjK/wzVVvaRTUcuo14l6QUnpOO/regABxs7PgK5z66s+KCJuHx
UggVvpOpRi6ix2DUfwUdEoog+LsU4knDSmgyy+hJpB8wEwtj0TwRKnRjjdrtDHvM1zv1y+q7k+bE
j+VIZR0F4HcXrAc7yj5mdXhNC3TVuC1Avyr5zfF4O6fjtUxozwvCT0KIT4xVI9cqh71RzR99tery
FB7kInfoCFxK2OMa3XbE5mumcjpQxYt8fSY1q8QaBvAa2YTowzFwpEjb4pJn2CmVxq/cHiUVdPG+
hONFqUFIO8VV4xYuLfvQlaXt5SOQu6LbxWP8FmeN9P7WRvVl6NnvoKrotdTKhxxaY2fl3FzMBrcl
owOPd16KcRfgH0+XE1pttTqjM3rUxEBzOspfVBbHeQRLGOENmiQKSb2+GDgb6TlfpO4r1FRhcIVo
QYrRU7xumRKcEuN0v4TWGQXlpynrj2xZ7gY4X5TVzCtXyKuZQmsTve8UJT2YdnjQmsSzxp6GY4Fb
VLLcIl66gVq7HGpD3xngDXj+qPhRZp6tcXUNizIc8XSAok8b+GT3QNb5UZXu/JoskjcW+RRXJ6Lj
LC6uevbSy9THQPW+ibq3aKAEvp6Cy4zFFI0lyj40OVHQT9wuWXAgI/4WWN0tmdu7AFA+owR0aFmt
7nAhOmcyf+wi7T2fTMlALyKsRU9lO1CeZMeDsYgft1aBUCEpQ/K4OjIae8RU+63qki9Gv0+oQLsT
2Hw8lZfAR/fyZlSXpgreCQ/ox4gIUQIS9RdBIadRMVvpZyPd2bl2pMuItF4y64QMdYg/pLiUViVu
GWu+Tjm53aW39vhlF35pmCNj+snZ5wsomkVm6bForkUpKBDwBjs7FV+Me90ZLYSMA/s4LQLdZA6y
EpOscLLDmyEeGTRCTqC2L7wqMbAtno3D3ObqjcioYNUoEahEWAzU7EhBnqEe5tmpT8jjYreZ8WCa
VD3/JeYWaLyVtodt8d86MPQJ12WbBb6FhAMQf6XxrOowG7fyEi+D1f1perNlDIwbAwvTmmavduZT
aSFJR+T0YZJHViX9p5beiyO/Z7+oBKq9DMj0AbFnaPOyZE17GIjQm5Fn2NCQgIy7R/yFP/suW5Vd
PH0WMZ6kOjgHK/hr4dnpzZn6SR8Zz5qWdrdEkSE+x9m76AGqljqhvTmqf4LC5qIhws6D4LeeyN4j
RWT7YAOkowNxVgp+k8ltya5v4nEN2SJxjix6+ALrK3K0r6GlfXvmJhz0wQkSM4B0Mlado706KdBv
Y1/N4lqvHxevFRjdpH1qhHzv2C/w88AeFjhLLIU3zMllUcxfeXVXJXJwk2x8LEKqz5ltn5pKktK0
7lINNbllfzeTAcQ/rO9nI3tI1tKBI3LShlNzlko4em2jc0U4uMCjKrvBH6Pw67CeqOF3PsH1yGWt
n4pBYqhjMHo76mEkgU3Q2aGYEAlUq4KJmuoWhMaw2SVGddckw9uUr0aLUzIcAj3/O8ZLe+0gbYSk
txWDkbIeOjxgZ536gK7vnEh5i2fr6oR/tVanJtvgh2Yz4Kxiu+D2mDzm40ugx9CFbMZoUaiHLhJr
d+pgOUzl5NlOwtjZMkaXmuohiRX1NXW4W8OOZXRLimXK8YdS47Psyb6Yg7xljP1kKvlrm9vZTjQy
ptEifIMxgoTd1g6omRSPRg9ug2vToYXtEJlDklS9t6Y9d4OGWF3jP9bWausiMIY00vSAkSmv0s46
tbC9YpufC0r+fCRVGQwUV0CoIHGn4j52E2M4ge+SXWS2l5qmiqJpeFIzgICKDvJlKCvaqkhYGdV3
mtSwX4rxmM3kmdXMcE6aPHV517tzSGGqXUg+WVb62ZPk42lTCreg6aHNyugUJsMaQGvvBhIXl2xl
CO5kau6VPKewohm/y7X0FHzUZFg8NRXErt2lJWdJm2xzEyIN7AlGHgKTs7IoSXb2CrqT4XZAX+fR
o1LtnMKAkj5T9jBXx5q+JuMXL/1IvYwTBjJCemgiKBWEd+7UpP1DjWe632JvtAL5z+Tlr6FRe1lP
3maCqKGOpDWJpapTMtQQP3giRLUMvLqPlWs3KvucmNKdLZTT8YJjuVTunErqB6n09R5C5GmpE8s1
02IXaRi2LCEPhzCU7Xkk357aNLgn6fRiFjSZKt0zVTP+/2Kh9YeMbBC3yU1WklZn3AqnNjGxXhn2
sBigSNRFfOks6qd1Q9K+0ieBKBYeZObku6XTeRiP7RuInl1hrPFniTRuGU5Gyp00i8uXwlz0o6WV
dDPLcr6R7VoTaminwX6DHj4rbYhrM/zE0W7sZMRpIUaJALslEciFxjDLNF7yrMk9Sy0CD+RKQS8n
qtcq8bBsKwBArZfkXTbxEenMJaxnjeFJKVc/hfpiyOS1Mzm2gdqZxyROaWDiskfm89KY/OLa4CPR
E5GJCU1ua5RkTHt4NRyDxuI0v4D6nM5h+aCQQuGMKtyAf2UXpS2477ZhuMdnq9W8x2hkoOpMlGVR
69mZdlV6STgcJQN37IVzLFZ7WRwoFuswYvbOcC0jzFvQyn4qpux+5VqwG5L5VR9RXQ7W8NwGaD1p
A2oOBUY03KK7uyle2En8lbgEkdYJf1e62fuW3d+E1FBJHDoaYJRwJm1uVt/wmzlEc3I/KL3AfNpG
ATPY2G4UCBPqin5ajQydhtlIj8NmwZlsBODWuJBQ/VdXOXfcbqZCOwEqKRfCCoNzTlbq9xQan4r2
d5iWb9AzmFsACjfq+6U1Fcg4AXno4BP4Fq+WmrlXMhQUlAyh17SITMh7iHG4Hakxm7j4JNGwayPx
7jTS3vVqg+FanJZXKn/WLlts3PEkNR3KXp6iEukwzkHcS8TKuPYA2Ed6MDFSn8f2KdGD+cYMFGob
DH1kQUuOFZbTXsCCpw/5sROZsm/sexgXBIbK/DJM6nFpFbLCU/PcDVREzLHztLBovWl0VALFbOHb
h9eo7d4zkxKZ/lcb4nub0T6DYJ6KwzDRasRwoJ8oQEeOIGY/NujG70L8SESJmTXmTv7Yiu+mHN71
EF+vLLimPb2Vsv8ebRL6VUIKnu7Kp46kAH5vDtzfwiT5oT8PAcPDBHrDDoHOp1jVa5E1nycL64I8
SR6ErKDnGzOn3FKVbkkriq8OjPmslYnfVsUfRR9/d4NCxGKOR5V7z2GFbo9l9pveDdwroZ9S72Vk
rFnNL35RwlkVJaRfjOwQgcCl2dBPRXLMFQydm0C/r1snuSlbzm299kMOsjtXDu2BFMHV2jF2UTeO
t5W90+me9e1J4rbRf85zeccTNiEK1l1ZIZ9ryoI+kGo/J6tgt2PcgWkbDfJL9Z0gsmKokDxqihN4
UU3qNSqNmDkSJ1lY9neFiTJXfJFrHz9E+L/4Oo8luZUsTb9KWa0HNtCibboXoSNDpyS5gZHMJLRw
aODp54MnL5OXVV0bGFzAQyEc7uf8Ykf2VUXayTx3NWm2aci/O86szWKyNapqgHUdv4qmTtvAm+pL
NB8som8ZSNo7WWWnAisjIg9lYvNp69mCxh92GfBHMLk6cynG6q7ioeJfdeOqFMzDfqk9xm0Ucx+o
LzXyEitN151lYOxc27ZW5uS9BFFownIjpl3UWb+ufDYyWQ8PIl5UQyH2YqgfO6ectnpsROuuSs8D
kDFyx2TnjCoVW/48GBu7bYKO8ECulkwcSzjmWFj6yFQQHV4bVd2eu9K9T3O+0HxKF1mpVefGa0o8
vDcuD323RJOlIb2B6til8keC/IQZm3D41rcaKuIOafm41Z4NG2RhWX8pBUouMLpYCmVrr3IuGRmx
VTmZ9ZJF69qHOtiRYkUzZzba6N/ialz5dtdgX3iXVO2wQfgb5KJ/9qbgFNjsVdiWbRK9DJe9khCP
0fo7Df8BFjnDG1Mu4lGOe9WM6ibahDCMHTynI/lPk+dSgIJ0pYw/BvyDY9/QzpFldKsmz4KNkuKM
IDT3h2OB0cya56Hp/IWJDPLSGdWlU4/Mz8b0ag7urjKwyY5/ODY36JSl38UAt1Z1GtZ+CiZG+Rgc
eqN8qhLAFA03l14/wuM4eBUIn8AP135UoeLR6gvHM7/PjBMW4qiT1J5uLH3dOeogr1PyL+susPce
kJ87iIpP2mwzHpQK2faCL8AxX+sUsiU8ooLg62bwXURt4hS/ZPLUuoNHEVogd3YxXjqD7IFl+p/D
KwgUZpWl30/rVge631WnsU3SLbCM/dj5F+xCoL4Qi0i0AaiOw5jBOL5kufVWTcPJNNsLq1Rki8ND
4tODu1MBEFRvErPl7p5XZ+RRLnYcmixn64zIibETVrPXBnzQs+FBGSft1IIF0sEBb4pol1UscRvP
eNMTo13kdv2iFM1EnCvhYcD3psPMFICeKjc8NOTSiLl91c2mOWqYxcahO26UpvFW9VQsPTPkbolu
KcoMy4C5vqi2yCrtwUzyKE9UHX5/+SW1sRPzBwPHaeUtsNqviZl8a6pw4u7Xt73gdzEjzAvxW9/Y
U/0lMAhCxvFMp4/JoBl4POmFGyxNJMqIMJCxtfiau6rbAHxihr2Lm/iJ3//e+VaVlbcKiBcQpiXo
X3vqQunZVlnB21AP97XuvJVp8+KO9QNZCH+pxwo6+Q7GWR6KUsJnO2BqM3qHPKqCa7BtAsnG8sBd
tNkk2PKrZJ0d3zgglPZN83t3KXJwYnM2K2+g57NTS1fY7uy7wUb84W40xq3DPygPim3GxO3byiej
jX4gbpYTeRbDtlCBtUF/D6u33Klf8JkiGp0XF2FuNJ8nJ3M66sreLjM71I/zb3rigk0f1q0bAalT
zRJfBnin5Ww/o4wA7Hzt1dHfSGi663DyTgOQtFWuIY0A9DoSKpheL7wbrElbxFF4KgsF10ojO9qw
1ZJcZNtmtNQ1sDmL1UW/bHN7q/VDgNpYKbBgEfc6A6Owxt8/Me8qNqUBjE7cHUOI155omOG3Yxm/
hYWYRaeavZErfG5cOU2bKA7LWzZhswfa2D9rU+gdiGwshxrvcdeKtPXg5I9hWV2NFiMIZKp5G9Gq
z8C6ukTL4XtbJzthKyRIly+jUcW4ykiOaOrdgH8j+jeUZKwGkhgD5k4gp7aiUcp1X16aSdUOedZt
+lwJViJhUVbWuyLXWLcSE47yiF9vyNduOJ2ijAnID0W+VsvmLnAxbg9UbBdAHGmeUq+9VIGu3H1K
h2pddTVLgCa4KhqL/j4vXgMSeiLGjNILlGiljPpXuxEXU212mZeO60ZjvZs2iU08yIAslKLI4vfX
JjC+leYhMJg18Ql0SIf98MA4FKYFzb3z3vBI+UrwyxTuMxmU7YANHJyWg8GmNAxYRgyBfoGwcgl7
9RL1LWgPbV8GabbRCA/YmX0ddG+G8rAcLQVGiiNY17LSX+ohegRhyXIUHSqr6SBq5PY5n4wH34jv
TeaUjeu026Satl6p3fk8ySGLLtuCBBnWlOs4JhqJY2ccVQtdDMYKGCUlN2CxU4KLqTOi5nC5oyLc
jp22cZqGVQnBRg/PgkWppEdzqF79uHtNanIV8bTQxH0q2pY/DZQ/v/ikh/ZrNFhvbVeg16+vDDUt
t4jfky8bEVYQ7Nrt8BshWRL2ZV4RPFMuRjE9hpbzHDvDTtWNvQhZqiqNfkR+B7qHCUan5YFo1W67
OP7QTGUt1JIHBtIQnWduLMETVu2/VTmygck30zDxYUv2BHVvtkMkLm2Kl8n3VtU4mduw0Z48fFiF
8D6H7YyIj8Kj0gOkAGiHC0Q2HK0M39NCJ8CduU8qKm6tX1wQPOpAXnUPoiMW0wSQYQvHPkEcw9DO
L+8ziAwLbxqPeeutosnCRYkuZEyOBjoppFndjeVW94aVfa1qvMoU1UFrH0Ca2j16JuFlw4NWYLkP
faOxYLNWTLlkoNFIAIZrPiUYdEI3QV7MMqqvudquFFCqAtfQIdIvtubgGYpuYEzMvS393fzIIy/w
MuWJtTDDHG46VB9fWDdh1GerGtwluUa23ZjWLRRhXNPWrtc5mJ7eBfk4NAe9JRsckE6plO8oOWD1
SGx10VcoSIJL1R1+2p58eZpq7EudPSF45sZIK3muTdtWa58zlRAYqkgzI32rQOyuPZtFCQvFHrbK
nAZETypCdkINRoIDrH79+otwtU1bmcfWcdBDKXGGTJizEbRwCgKabXPqS7M5aUXUnghATKT1emUH
fKRf1Eo57LPaLO9jU0nu2VbP57KiqOE/olPEY9P20YL0w0BbVpZab38201EZujW2huIiq4ADkIew
zM8fg8R9EDOPu8PamurynjiMuAcu9lCqiHfIKgN717Pw1N17h7lXioHphncbrj4GIpAOS7/Xlb3s
B9h6uA0C+/p5VHmAW7ILIVSStuadybrarpslCDsLGZe/6tLIXWqI+lxkD7S7RtAuMQFtK+kv5tD9
PLC3u7lm3t/9UW+yNkBKpyeh9Vd/TdioWJhH8qT6+aM6xVrtHIAwkoPK+rQYsZ4KrSt7kU2pC/8a
4+n5KHyAU0XZN3eyaHtFMnvATetoiNtHrwrSgy6IJeZB3/LkaNwbHgjLFPpNs8yd4dSrTL7y0rHy
6mUAWG8vi3HqxVuIDebqfeDA7494FRI0m1+2SlGdS7T3rvKlXK98IetinuQr9RGWjZPvBgQk6N63
ItuxnVaWshjBPD31nv6UCYX3oaoXQ2j1gxxH40pCGZU4yoGsHFCfyD1/I1ub2FqOYHph1aTFTR6s
VFSbpOKvhVRWGC5bu0Dros/qpWwG0VzceMFoV+HBzCw+98miKQR1RVLrY5ykHgf2A/mWIIW+aRoj
uhBiDzdFP6RXUvAzcqAsb0jUOasiiLr7BEnNVY2qwsNYCXvpw755ZO1VLYPeTp8bom/876z+JZzQ
s3NSy/mUD1a+SJW2+GJW5RumstAlq/zF7eLs+1Dm0AZj4zWfALKnbvGjGVhRZORUyHAUy04tmTgm
9eoPrGgW1ZFoFZDcDBUa046BH2BNzHKno/dUbENyIW8kIg5GM4nXtHJuDgj/b1Eff3bzsPqqsidg
9VZ7n3Vyt4skTsdNVAZYo3iauGEmj65m6jAFzYbLsi5ISiiVk8LipxPiJhu0QHOYJPxyLYuyoYoI
DsVBqrDcYaj3fmUwrG0gZitZbOYBCkd3193goqj36zXwei6AT5NHs3pRhMupctSNYmioEM995Pge
OcHtIKzu/a3Khrz2221ek9OSXeT4g6KC8+9C8v2FAM8GI303dQl2kaRAL7gFZbtWWDGWoGV44m+m
rBtliB8QMYiWlWY1X7JUOetW2QfkiG+T64c/RGZ9BeDtvfS27mKB3ECb7Z2UqIonDkpeGAdH790N
m9eO/3+mkxc3uk+9332yCqRcQmsNe4AfaEqmW+6U9ufB1otlEPTTvadFxcazM+R2srq7A93vbnFt
9i/YmtYrQyTqM4jCGMGk8CrU5D6fdP1slBlCC4bdk5ogF9gmoThz45AoCorknLB12hpoLZySxEy3
rUAlJc1JcGVJP54Sy2i2Rg6qIDdJ/remlp20dtS3KNsEJ83T7S1/FOeYJBABCiZc/mV3OaCTbQm1
f2dYcXhjNcKSTnPs70F6h66E/dqwD1/UTTDey66RNSlEZf7qOnT1H10NaM73Kh7f266xmH3b5AH0
VHzE+2zb+2iborZMOEPWEfDcdqLsw3WPXeiqrFSyfn5/y/QaZ+XYn9Z6NPU3ecBe1lkayElsZFGb
+2kdTNzAKK1tydSGcXdMLBtVn2CvR2J4vy6MCSq7ul/dkQR/nXDzQ6iKSD9Y/2tTesjewFNiN+ju
ClxUwFj2kIHhJdwMVIVXgHaGtazrC9e/sboHo4/iJjkh+sk6pzdW/Yg8kyz1oZ+dkSjbyZIcCH6a
t4txzwPOzBjyYJmWj3Ez/6GPOvCcFalcW9+3v/qR/1jpSNtdZFXpuTmSbtWuqLBQH9K0Wal6D7qC
AEqzUWKT3w47yHANGxE+pjIlxLL0+uLwWAAIMFcSm0yW7+VaVAjwEcd97ymLCOcTapoPH0PIhsIK
motNSh3NaRcZmL6+aP6o7mTgPldS3gQ35v9SGVi2ulM0QvzyQtlRHmQDPFTSwfPF01QCH088ex/M
G1ARVsa5I/5zCTIBrAXVwC9EDWuSPFZx1UuEKqwJPk7RknA0nPwt1wvvFgUQbzxBPF3WZ473gNyH
+uDNy10hoMUoYUv/vDgUJapQ1ojbtD/mYi3r25AdUd+WL2RxHMSJBuxVY1KXmYXlrBb2yqF2uJsW
8rQZcS7Nhw4pc0s5yKoqTmiV5fdTWfvR3nkQ19JM+fFHvSz+UWfprrbPRLLuXWKo+F6Nh1Affx5U
tb5FLZ91MsGLZ6FjfdJiyAdqmZRfSNq9WmZpf1Wc/LnRtGZv2oa5dbU4XHuZgeoHGvDPZqGRPoPh
kesu82mgoctUpdELjpeYGjNhgspQ1rUxHlxUtvwxNlagwpn/8uE8CpG9jSWinm2tfwqsWgVBWrjs
2Hvlrn/Z6VqHrKhK6n6h9kaw87OcrXUDtcvVs6+lp33Gn1y5RzC7OOQ6MoORMwFIGNqNyMr0pVNJ
oo1Kqm0UKFxfbH/JANm6femqoLzTRJVuVAhi+6INsmd3HPcEI/OvWm8UsJ58/5CFXXzvm8EP+XKT
7vILiqG4OEXWnf2ALMMwXzC/DxCU5LRisIG5HZhb5CS/xUiSnuTByIf2JMwWeK3lInGgsEsXACRP
hh6Zw0L2gcs5nwLThgNnHn4Wfw0hu2dl+ZJlabH7GDo1gAWbStesWwE1YBimPbot3lmW8gQCmtMh
ey+LcQWKBXjqvnfrs0NCsNnXREBAh6nRshBK9TJ25FXj3BSfnYm8dTSk9dcizV6AefTfsWg+taxH
3+rOhpKVBzjYF9OicKEJLBQ28nM42gvgt2QDCBk3MGe6fQZPvIGnPIvLFY5AYU7XykWEtfRWFj8a
klTJ8EEGZ9kR7r5Ez0qHjbiBIPXRtUPhbeoSiG8/2PU+NNo7WZIH2cWa+8mimNlFZh8QL2ucWzSo
yj534XVlsNTZpXeIKOiQr1bR3Cz7VIqvLtOUmGhlWfThsfqdLb1y936JrqXLSg+sy3tnfqezhrOE
VVnODcIQg/x6jffrez+ruLN4jRpIwWEom36zbMBh3wdJlt/785YjUiuwOr/q3LptVgkhMKA7SMLB
XNGvleq6R6HH1REuywt7YutRhVaF3ph9LWsHSdkYPLnDjXiUjRaq9itwIOVOLcEJNp1RbnMHvGva
GMFT5BfOuuwQR9DjAR4V9E7MczqobkNmP04pKBuvCJS3Dfk1/y3vWJIaVWM9Zoy1BiCbHAfLCFdl
nEIgAinwQDRzPTDW1bAM62GqfAKnjs4OE5Ide3NE3Q2ziRey1THIdI6N4x9JzyMwGkXpuazt6uyA
WCOFXkXfhJPdVXlsPVdG6cCpCJADmbLopVQIIMwdnL9fSS61Jqjuht/Ai7xfaTNjLcux1q/kloi4
OyJ97FMYSgh4RrfY99GN0pqCFEnqbPvR1g8xzwjgMFlLRjsujsxvzXbMVOds8v2snSQxbkWK/V2k
Ks7jMEsWoce7EMJ0t3XrT+Mimz0YWmfUTqQ6UwKXqG7NVTkI/lM5H977NZVZ4G2h/LxCtjTjiENy
b/pYEEJuJ8e9BpHY3ttGGz6UNpoVEUJva1mUBzqYjt3es7KfWUAID310kHV00EzCgURA+r3vtSbO
tF1wsPO0OvVhn62TLG2e9Sj+Ln9qzfgRWX34GnOvEkwfMbqYr3GRKjqY8zWpQ0yhis36eTLm9EHv
v5n5+zW5l2oL3c1+XiNscClJmh+gVHkHrRm9AylP8lu9TkJCxHmwSXg2VLhh05TLpj9PWQQbK6WN
NukgshaTAhMeH666i5pPj8ozPupjgAjDwlJdjvlc8XFo0ggDYFCvjxNE2nU74LheR4NxLHI9WUdW
rLxAkr/03IWvVtRdzbo3XuAt5KTF63/p6mftRS5dzXC4ll70s+sfo5qTisd6IRLCiF/1KjeeVL8q
H4Put0LUfdU6W39v0bzfWv68pvTKfltXPiCUSXQ4i9fqwDMWxj8JUdVcy9NEQxAgmg+lF6Mw6V5U
dLsOVTLv1+Rpjgatgqfq32tlGWX46m4yCFl7o3KXW8EByoi5TUkV35GVV+5kPcR3gqeyUssGF13k
uTdJPy9fyF6trbXWTnaoZa08lQfhWuTKnDZelChn/OwvW0Yt+NJ6VXgYmeevAX+NXToQmNMykV/9
XMuv8oxV6HNDMvXuo37wA23nGiTu5aV/7wva9GffBu3eBRoHLbLDbnCSBwuhT+6jzFw7IkO7pGnh
fsvTjz71SLrjzz6y2VYtxFo6jGUiYIbBo4L4+yHPG5X49HyqKyC+5Jk81AHPLuBJ4eKjrtPdUZw+
yok9JZs4Q8dMXgzFEaWmP8YhXEmSpq5tpiuXHNlvY7Bwcpb5OKjga0q4Wsj1dV50RcggvwZqmF9F
OjpwxH1j5Y169nvDrukQ8PuoLQ3DWZFpNVbyQnlAWjm/1rtq7ikr6h58mM2SYwtPI8Np5mUi3XjC
DEEsZBEqU7GtDZSWZFE3oYwqcDWPshjZ0YoHpP5Yerp+TTLzUVb3EdqtjYmHXDzm40utkeplC+Hs
ZatiqRecNKcbRtnmQ51P70N7qdke+rgt0VPiIjIe4xpdIfaj89vSUtQEC0sxzj2+Si+6jzPJv75b
c363LMPCDZmk4eXj3cohE95tViPQLGDpb6USesbjYtMUAbjoWSz9XR191lP/KIo6hInmAaGRrbJh
GlJmdllO1fxzqqX5TpbGTByYKqH4pNrai1nrQguMoivabsOqJp69HmpnBMoUZksfoYJzwVII6yTf
Iv1QIZ8le79f6Bgh2Gnhzr4e0dVS6ugK3ixga9HfEvwvjgjIH1plcF9UnZcfvQHWkeddRZc81XN1
7sGzqRLS6U2buC9DY8RLAvHRUbY2downxpg8Bxro6cbEYmfoFfelgjS2yat42MirdL0nHNnG8dlT
Uu95io/yJV2lU48ovZIBnF/Kj2MSuVWubGVxTMbPE76zaFjV5WMd+Gv5kl5DbkybcL5uu1R/NmGN
JZF7alKDjIeqQi7GyOqEU7Zz6oVF7iXWbB9cqPkwjqmJ3NCv5kEBw/BxyTRNI5MoEvsWj1bDgnUS
dg9B2HYPGC0ROkwBh/oBRSRvMJDpx68fPbTWf+pjIz3J/rie1Fujg2gpi9U84JzFnceS1/RVZi3R
FPG2nmFtm3asLkMO354FAFD7SuHfqiKS2Rp28Bre2rArXvFwysAJBrPXgAnbdmpciP59/GTZ9TfP
UPLXxNeBv9jik6FbYt2gTHgkGmmfykkTeCB5zpdYESvZVbjk+fRede+nFG+4UY14klhVfz+VXreQ
r2dDUkw7W3z1S6CKihhYjCmJdaghVa6LyHZfAA6cZNcm1j93rgoHUbc13hQRHfkZCr8XS4d91F+f
IWEP9f4Ziow1lfwMFayhpygX34DvdhtfJOYmVZNpBzggW+kIezzJYlcl+UoPVf3JbOqfrZMXGL8V
1UQXO5JG2Qa2M3kSQ4mfVXzSV+qoVmfA8P1eaEm9QzYZHVElSlcOunmfxrF7AQJt/nDrQ50q01sj
mCYQIY8hlHP15PnVuSaeWbQILvRG/rXPRLhFLytD/i7tyyOROSyj5rM/ii0iz9gMm82SfQC9hehH
2BHYQPtNZp9TzVj7gxIdSRu5y5S461rWC1cHCwTROT8aVrEumh7LiKDlCsOLMH7xBvd9gH5vOCau
Wtpsr+c46tE0wYLOJREHoHiKanxv7KpQW1dVhyLB3CC7yFav04sDCQRU9GMSVCiBbdIqsE4m8c2T
PR9kMUx7+zBhLilLsl720DLyRyR9HJSp8xjq+3xtX+BxFFrZJsT1ZikF2GG6PpUI/T9EAYDJWgNn
IYXQnal+sj03eSCdHr7Xl6mzbDW9/oLaBmzz7hW1cZ5hwF9uQWn6uwDpoK0bpvlD0pPkaBS1ezV6
dYkAdPtVRbVphYyjdkY6FQe0No02g1Dq50rVnoIq6ZHUwShrzL0XK8ZDJdac5NiWoscDxBhR7R+D
K3sMyNh5cINW3h8NvbFv1nwwdXCLVnEb48ieFcXaExDMA/w/sJaVmVR7fWJZ8dG/retoozZs2WSd
vKwLQeGPUZttZVE2qFH1hmy9dffRzQFJ5dRFdoG8ad9S4dcXt1OWHx1QlmFpFo/fP4apDUdsmwlS
n7xINrRtNKySNPShXDCQrNOafMDsOsr2stgVvr3JoxI0hIo3jhdYLy5bukPvAQKQxXocwzVKNepO
Fp2keGpId10hU/kPMNQ3ddNaL+UYQGDz7rUhNk+kLpDgD9QfwLDUbVyVbGlknTxEUV4f4VxBW6av
OhXGxp+qct90+WewwFDPPV9faaob3/djbl1N/VtLbAHiDHYVe2TMoLzOjUVVJPeqGakrlezQWta9
N/jlZ2PUtYMsIaVoXb38m+wuayJLU/csWn8fJ04LFVREo6wrp+sgkjb15wAO1fsYbC6Aa4vpM+QX
d1l5ZKZjUv/aPAFF6L0+fJR8/70k56oBlYuPtu5vpV/XyUnuV095HTmn/kHvyVXPE+Cvnu+vN7fN
gjv/5jpvCEA/Bv0+6MfkBLMxOVmJf99mY7dDjiU5fdTLs/c6MZAw60E20P2jOq+Y6ReyXE/d9zQA
mI8/w8nPrOIkz+ShFiOaKnraYiD2V4OvqdHwW9l0ol2hBtld3OND+T7MxwhdrYxrLZ61++bx5UGO
xaKgW/zzH//3f/7f9+G/grfiWqRjUOT/gK14LdDTqv/7n7b2z3+U79X71//+pwO60bM909UNVYVE
amk27d+/3kd5QG/t/+RqE/rxUHrf1Vi37C+DP8BXmLde3aoSjfpkget+GiGgcS43a8TFvOGi2wlM
caAXn/15yRzOy+hsXlBDM3v0CP3dJXKtnetdxwMGeK3sIg9uJtxlXoH3FQsl6j0WKpgEpJsgTsxz
NVnG+yGbtLPJ1HpHbpjvGrUk8wwqv9wqWtAuPvrJBnJuGGgWEZLJZURQ1Mp3Inf7k5Vnw0meGb/O
5h4op+Qs48CdhmxNTr6u7ZuoLW5lBJTWN8ffSl6u7q3QGzf/+Zu3vD+/ecc0bNt0PctwHd1w3b9/
85E1guMLIue1wsb1ZOtZce5bNT3jbjGfw96uyW/MNWJtjTiTAdsYkA6ZDz+r48pDNlDU/kkhubnK
TNVC8Gaob17kVEgoUDf4tgWcVO1CWH1/lcu2+i7SqsV9JnwWwPUvEdnwZ1V/TpOmfTIgTd0nYLll
rds28UnzoRjKYqqRVBkMBfH8+RoL7sE6SOsK8n5rPYO1SJeTk6cH2ZoXyW/jD+Vv4yuGuu/bCqKl
r+F66vsNYh11dyL6/J+/aM/4ly/a1lTuc8d0NShfpvn3L7p1c5cFa5C/ERHp0Yvh+5PfcJB5fKkW
UhYQ+1DLk9/xR3NfIIta5/nde7+wbmEKoyN6F5pTdSSsAx824YbL7LHFNHOu7NwZPyxPfd+cTx39
Z6/Sst86wbpLBKW3R7PKWHduM31tmsVYEw+fMIjZqJne7tvMdB8tX7vK9oxdDhFzvYTJ6dvnCnnj
Zd2501e/Th4HYsyPzAF/DJgCP7hXPQOg4XJI0S2drOHaOU54bPvyJEuIBI7Xn/XdFZ9nFPi6MvcX
nYHyIzAXY+WbH124tDHz90t1xaxWE+uTXRGD8giRDkHCPhruVV88joOmYfDWEUtym/mzBMonx1mP
raV+VlH/3wEWst+L9hidczisD4aLSVBUWBmGqVz970adL68MtBD+862h2+rf7g3TMRzb5m9m65au
6qZr/DH9kVNGW41c8TOep9n0bGquuanDGFhIkK7arvUPim34h7ATtxCCzFaWZH2TtQ7ql3OrLMek
q4FNl8au700WE6iQLXJwMFBRgMcRcZ7qvdFZw70QdnmFPrNE9ma8l1UkeLtNp6A/K4uywdS9B7tq
9aOscpy+O9Z4e8mSPAy+VsKxj9UN+V5vHet+sGH96GwLgqxQAkrjpXBn0TSVyILF7PkyQI1W3Gx8
ijq8WEXssHXtoJVvTRxPwMQ6Lrkg9ollmLJPlNvIqCm2plkdghaxDCsLsm08J5GJl/88gMwEUptC
AfhogLpNGnO+wpmvkJ3z0v6mGb7NGqokKNUFrTiosx1D8+uski2yjPuQ66Kf4ADlwDlXdlQG9Yy2
2lVawyRjHp7k2cdB1qGVM7EZPsrqwgdW/tG1wfjqACEckgDADXQlXOUZRdIvJqH5iyy1zQW3FPcJ
fk12U53wgtmAgjFWOBxUVlbArlrlWRvbaAsdZV33mt3dC9bw9xP44VvND4Lvj/WAzbH1IEJcP6G7
iIOsy0pvWzTZuPUx1j4ovtLC+Ri7g5fqbrn4KMuzjz7u3FsWg8Q+h16y1pEsxk9cIZIVgnu+C/3y
6eP5K8/MsAWkWeBJ8v4UDrz6t35WQdwcwuC0RcbHvGg8C1HXafS1MRflQW3I3ORmeStIWtyNlRU5
i6bD46ICN/9Ht1igaaYiONPdq5NvHpK6Ci/ygHZUcnbHqyxMUOT8lWuGz0WrT/t86jNzIVucyA1X
GklmTKG51ONmOrg8c2BLxPeEdsiYARmQpRKrtmOQRE+yJA9Z6okN1DIxsyvie3kwS+B8bQn9O+nC
U16Nr7XfGU8IvbmyJJ/ysTL9Vgr/KtXIbT/hcf1bW+djWMlCKFsFpT3dQXpR7+RZ0w/T+5msS6Ye
7YE+ZbfcpuLOsVwkBwvNV9e208IZez+H2ZZsM3RfoM93+t4V5FDRcEBQDC2orVBG/9z22YTbhRfc
w7+PVmYeNk+5xYLQ76v489BFb7GrxN+tXON2HmBeQdBBjTUakeaD8ukkQQbSJkUpVCjuNzusf6BA
5X7KvQJZylLLngrm/5UP5Wb9nydU4EJ/n1Bdw0A2R58nVSZTmucJ97f1ZGL7Yd6L2nlCfVldyBVj
X7akeWEv3MnF5KAgcEGYKb2T60zZmkX1z1ZVQ8lKtn5cK1uRctpD1y9v/+76jwtCvQmILlT6eMgF
GpF5A/kzc8zgFGtg0OWZ3WK7hBxrh7W6GDSS7LEHIE+P6qUStf1TSVpuiTJ3/2TGyJe140pR9Itp
RuXL5EbTHR6jKpxBij7S2Gs3AHkvi3bgsOwXjThNjVa8WFaxBOMKXsgi7Rc0ob0z3Bqz6k63n+Ay
3xtjlX0fG4z43CaqH1CNtHZ1AFktaGLnCXbFfaTYzS6wQnMH5flOrYv8s6Ug4Mj6XTuZBvq1kKat
tVfY3TNh2Gen1u3XX12z2SFSdoVmqL13dREdKfpSWVmN7pxMMs7TClFB+PNFewCvP8/8yP+edD3O
TkbTu9/0bLq3+VN+g3T75oSD/RmwVLvwMn968VmfLEvb7p4QGIBf5+ntQxrDmBRtNdxUBZomCprm
Jc8JZvVOFZ7J9ajboTWbo92bzk5XBu/Oc8lGGkqB90jfq5gl4pgz2ujTelERbduhdM7w7BXiDeN0
RaUsWBcFrlN5XKQgKt3msSY0vQTM0D8zcRkQKAbtU+QgmFWXvQJ0ZfrEJ6m+swA4kaR33qwel5e2
CO8Clmk70fNxOpJ3l7EYxS0vxTcYdRoOL6YKdV0Td2TY53B5T7CK+mxoHDRqs34zAAP4HAbWDipq
+Ni3F1zgErbkY7wjvDPdsFKBjFZ3yXdTQE9FuPxtFIAQW7stSS6nwUYn/H6AVk/uJfj/rJ3XcuNI
1m6fCBHw5lak6J0oytUNoiy893j6s5BUF9Xq6Z6eOP9FIZAWFIsAMvf+jJHcY//i4RtsPnfO2PyU
onDRNDCEzSxUVwO+byjURM05yVxtoTVyu7XCIeKB6OXgjv0c/TlovTFkvG9GMS6UnMAFsmBolgGg
JoYuWdeDKEI9A6NaGj6GgzQolkJQWpzKScip6HQ9dabhoB/TbRR8mEZ0toMaxVQ5i9eqhLNz37HG
dSfVjgZ1ZQgjdnLBRQUCtqSnPzX/rRv98XvKi5lVbSo/qMWYrgBQ2Std8tSThAjKpMJUfKu8ktAo
Y1Lb/tWocvaUJ3q0aPjpbQ0t7/aSklpzaJ79PHNLmddimIBv6B8Fyk1w9bRplSLqy2Z8vFXd6qtR
eRSlK0AuDqrrHH9bJyYRV+jb+DXRSG6bgW3MLVnzLk1bVIc6gTUqhf5FVJlGvakiZThiteBfbKdM
5gZCh0vRGBp2stFDFA9EEaZo8ZiZS92Sw2pWAemGy3DQ4hH8Vy3VyGtgnoC0zysIH4QzFSRAWrsf
XtmfhOS7nOpYYEnwqDbeh27N0IK9c160yBpWOQF5XFPYrqiFzR7GGN4PophEA/9/bIzng2lqJ1fJ
kKMLNrLhwk0TVTBzv2iyU7/X4dMMnQ9FImjXDGCVkW//+X2iqn/eJeu2btgEJwg9GNycCuGoP79P
CrbtYxamCPHWvlYQAtWGfNON9tJsDPWhmLbrI9Kbjl2/l6a2W2lqEz3r6bXe/6nnX8eJnmRntaff
V/g9LoikctmV6XiHql2ONleDc5/p7OSqNfa9bQ4YH1IjDkOcD0uJENrdp4bKjNkFDGUwPtt2Is+B
SAP2NNw9dNjwzA2OgFLprkRJHPQKTQYeFOVMMXxCfm1tN7BG7AFUMirIpmVjbNQ4R2sI3E2ghQ9B
GjpHUSXOJAwO5403Ij71u0ExQNpAiwSB6VT3YNhU/CxYsJJnw947kjBasVLj0QebtGX9EKGgqH4r
xy6+BIr9c4Tk+lQq6G8N8L82ihsZB+jz/lyNvWqdZ52D2LS3trTaOKPmkj9GebqMEjN7MdMu3BkN
VjiiCFxZ5amF3k7Zp/nLMKrBDCtVM8ubgxSnJDtI2c2RUzC5zTsjQyYU865KP8SVBPuAyBXUMaXL
lsM4fjVUeOhDBKTLMwL7qcnVs/BYTVpzMu0Ny0es2c0VSTFern/tEaOii+CrAnymy5XFiAPOlhhB
sg/RiblH1zF55l32Q4A5VPWtqZvqBPDV0leuhbqzqucGpJLYOHVxpmzCMrAQOKiMVxkCrN8byXdF
AssjevDp5U0zgCuyTAutxBxqkJ9ELMHzfHjtiL+QNbCMrZoHweugzQLJ7rauWKa4fuPtsErc9bJX
IMUMhr2WqkmPGQXPaOjUX56iHzrZir6ViK8h1++4LzYc3RmL0ugytIEyd/ljTnHg1IvUkdq94SfD
qq9ldTNgQ711eyNbZTZoQoCw8SIsveCB/7Fm3moDwGAvMasFa/BxrxXDOM/UTFt7sjS8Ivo8s/Le
eWpct9z3ZPNQJ6dedxHS1fyebtODqy8g3P7uJkcFxL/pCUYCgtlq9PZEtyhC1jlyfvFqj150vkJF
G8s3L+7i+9i0CUWEGCzHSuTOvLhRv6HjFXuy+T2Q0ZcfsRg5mp6jbqq6DPiwavGCp+MhMSPzexLH
P1OpKy9WUeT/belr/DnOND2qHEXTVQX5d2ReFP3To6ruI8VC3Hd4ko3EAW/0bGsND94UBpzRToaj
cVS8JUGY35lS3Rxb1NQeelV5EfXRGMG5Qj8xL5Hay/toLTYiohhUxseiaDWzelsE+YMz2vHOVYJu
4Zc9lB1imrOeaMebloygVHPYXo69zg2r+FWZ+VdoivaLZCuk+jslWcNK/1XXlbyV5Cqd5w3iXL6V
nivdUR/Lqd4npgt1Xxu+tAiFQiTrZJIvYkcP2gDTU8RSZmK/L7b/yMz3+wD279rEhrYGDyDDwTS0
cGnFLStLAyz5HiOrctnmEJRWVodHdO222F+lBHUx5ux2oux6WbfzeqNZ1C7aWZ8aRBczNxkiOtYw
au8TuycRY57QFaseylQvHxpEGYhbmScpbKsHH97qLkNidJ7Lqry3rRqSrTxthmR5soYM+h81ltMB
oMVfll2cQ9eWXhNQBLMoLJXTaE34N4SnNrfhwAPfh/PNXYebhqf/KmG0jNrgHVFd6lZWgHkrshVg
LRAGfy3LAFYiiMWlhIP7q2+Zb42LpVZQYGfq4IQlqgcntVdxhCOpGJQO7P50tXR3yLfXL0G20jU3
eXUAUm8H0y9RN6HYS8OjNOZHkUtMS/dghUZx8dDW2XYKZHhR76Xe0VWq4qIh3p46kHPhOC70umYJ
zkp+Vw3dx8OtDhJ8d69npXYnutwaRLGxsXHJ8YaYp11F6lBN4gcHstE9yw2ZF+WkHY5VKqbIyM9g
z5psEqxWtho36EoLm2bvlzAwZK+FERYiPDskYX9GN8ad5XZaPaFS5N4RHmxeZR81lQRdpK+qW51r
P88g51SLAaVyeHnkQg0PBVVtcIlgeSjaIty9RV2q/t54waPWjmn4C4lHlqtTsqqvog1MmehBnkqZ
HSBAYEYPoi2hJNq0Ken0u02bku5/HedEJcb3Xari4wqWE81BaEwZUVJ9QnpOGZhNlvt4qgoYKKrS
wG3jvHbv+EU2jxhErVnGe78sTnw3C96IhcAJx0PzEDuxtpE1gABJqFqPdkk+diJw/UQrm7ufBIKC
NtqoptLZVsDqoL8TbHrPtQ9ewXqzUOPhLSu8beDE9b6SI21pEcm7I/Dp/QJzn0zWyBh4vGVRrbxY
TZTPC7sZj5qVD6tRU/O15gJwjKQYWYCQBHLsV8pWK5VgD98tvpfxl3jBkxRSDZ9pHBrIM7r/dYgs
hZ3h4GNe0POkKUDhemWrPVh+hMYsosffrO4LS2aUTDDLwo4TbRZUM/q821qYGnWp38OxoYFQ3/uZ
rgz9XW0AoJYHwzy1Xf1W5k7/2oJDX1ipTqzRK4fXWtHnqNg4lyHu0PSxs2Am13rw2mTYKGj8PFai
6Iwl2GyvOyPKW8MOiR6xZw+4p7R4ldSgOkQvgndEPiX/e2p0zUEnR7WIckSp8mnFZo5xdB6R5QKR
F6gkhKkTB/Tj5mjVdkdRgvYBZQ45XzuD2BRHvbFJPctZ6nnFk0GG3wWcq7kAvjLvYOx2X2ovfwj5
dXiQlu+hDWX+HeKp20FrvW/1qOA76AX6kzwergsDfDl4UD+7aH6+5LUyrpokRYliKjoOclwSuoHb
ayt/Vpd65uGf1+nmX959pqYRIMax2VIcWbU+xdEVpErMwSykC9g3hF5dDMmGYmyPcpdEm6orJycu
P7u4+MnxGEusHznefF7NTXzrOxhkPwbIVoVBd+BucMX9+C7PNPPWPZGxJBZTxxLqMte+09QGyoy4
L9bqDJV/K4ZVjqBqHMfbmojvTzLXm77Joi911eozMO3pCYiCusrYd6zQmwW6Z09hUEQbvyRDuPVY
lItBCP9GREFNGQ8r/5pizo0kuEAvvBOpaR9n10uE66lIRou23yVksT+3TeNqp7L+SyZD++tGCRqJ
ZvDmMjX+6fKnLBfhG1c38966aKqEpnUzRPlLbCDb44/RsiuQ4AaRNOZouHJaNlK1rafDtSXFs3Ym
Kru4QiJoHOyZlxg9XifjXiWFuc2T1NyKs/L32X8qdp2BIOFY4zNTczet9Wayycla+xHONYtOu222
ilRYO1QJEHMyFf0pSFBjnXZBP5Mc4cbM+CEGJVLAIAtlYjQj3gfhfs5t6dvakxXnLPXjo4pWzI+m
6+5tteIuKbC+Bd+Q/gwQM7Rg0L2iJw1YXpONM7g84z6LAnNfQ7JejXkkryM58vfGYGQLfYQ+4/j6
s4+l2n2MutSOEB1GaVMQRkrG7pImWC/I2Hj/RPoorHV+IBlRXTIzSIKg1HuP+9D7IALhwXUQ29bi
96BBydyfVomobQn08joIOZ1yN22brldyVam7yK5JisQO4mWrI5wGsd0Pnsfa+6oYtrLrtCjcjHno
sNglyli5rGWrvvdWIgZZgGG4M4rBucYgEzxTpv3mU47/RidHMkonClLi7a8qbocvwHH6RUk8ZWUb
oTVVF1qYnTw9ekVCzj2QHC7XVaW+pHXvHkSVOIiik8QLAu/h7lO9XqnqrEm68j4dzlEDi0mkRMmA
lDtxdjuIushr81WU7nhC2S37NvkxRacbAwjX2CkTQNwyW7xd7NTEjApogmgdGtnYlc6jV/bVWk0i
7SUanQVJOvNRxqj4ofS7x1jtSYLBzF0pIFvBH6vavdT0wSLLy3TVEX+fi7tWsYd05Qx4yoqiaE1M
iFfKsDTy+pcxbc3wPCdDK4UmVRSlUNkXEDbPbvZDGyxpV+FotBcLXF9ZBJZc7K9rXtXGzoLovNrO
CU6znEF9+75DvJxMif8klmTsMj1kyXx/l4d+8miM4cd6dKR3fWokj1N/A+vwN13dxYNm75NaTp+i
Bqs+8YmCJF+z9LfnndbKK3M0+A9IfChqdQ0gNPKzJ6lGYXzqO6RNvk6ID8+6SG0eh97Pl7mthQuR
KHSjRAOqrOMOwlf2koanXFaGKXl/ua7bxyLX5qOGzwVrY2uTuI2El1jN9jKsi1ejjk7eFOtsw3xj
Ii/01kWwTCGaBMcCu7s1wibVMvAc/RynMbJSuTT+qHEkiKpfqSsbb2l2JhiMRN/vEwhrn2o+NoEy
SaFTfeiTFrX1htjos0g5gKaeckRgFkVSIa1IGakBGsuitS3XdZEN32zUswf26i7/nTNwcfUhRp51
1wBCvo/RKX9rkhIMMmrISQbTwlGAW8csktb8DwMTBMnylNTtRfTAQogNaxA/1TniXEAQAmTAm+Lc
TME30cNCaC032mGf80ybYydVHcvp0Mlmh9tbosxtxYfcGZkhlZapof5ohU9JHxw0NS5O4uWD0D/7
ffLJ4nc7td1K8Jc+lH6PQ7W3/S8vH0e2/vr+t0xDI/OjkKhTHEv9c5hOMySguHI/XEYHF00FA+Ug
6b2Z4+jtHGC8uU2GCpWi6cxrXDZAuhoH87BypbsOcPyiSV1jg4lKMVeITWwLlLjInsuXyIpQgORR
tYTYEi5MF3fuG182HL3qiIELUp458BR5rLYmT9ZnwCDPqR2hLDKVZA+ZxzS8RBAmT4qZuhue2ygf
ppbxNoAkthIjecidSjpEY9tPfFOErx0Jaaqof/DrtvqW+M0PA0Wwt5LIGrYh7fASIq2EBUV8igav
O2RousIrsrND6VjuKlS6al2yO0XdWQLtULSPvSqPuzjA02vEyWIoUnUW4vexMB2yCjnvuh8OKpYa
390qUkKsXdz624CI3jnRE9izugcWSHHKrwp3e6rm1os+6Ggy62a6NIu8efDNfB+DxXqLE2RxpryS
XHf+bOgy/2SFxUMn+eG67wNz66aGcT3w+vTyr0h4sM70eIVmWdD+6lTet2RogsJ59UEs39eaXG5h
wNZHUmK8SptguIdAie9v5OrHkqcTEJ7CXuBEQvLBdnwEJZrIOtsuUhRKM35VPIhH2eQ96FqIbrO4
WGSy/YKwZfvNtoPsrujK6j4cm3AJP02Z8QToXhwTukep++13zxiWpVd0/l2jXdpUd34ZrfTATnpV
k52fD5aDDU2kzupaQZIl8e0llENnmyHCtTJtCV/3DONJCFRjjH+DDCUCXRmk59pAMxeZ27ADT+uj
mtvE0dIh+NZE3ckm2fqTlBMxG8uZIeuGwQ1KZBtQ6BunNfwDHRL0qLPWxw5hbEG7Ybs8WTOLQ1Eg
ACVF2rmdqiJJKhEhhHkmGGydIL51+Wtv5yf8ZfNLm5UXpXTiIwAm+SmTlOfMU6yDGubVfjDKUxfq
6S5HxJEt3M9QbtKdHHhn5HyHtWclGJaXQabvJGLPzv2IN9hbZxI1xhStXIiiNJhHO2d7aKptd2hM
/Lg9TPvedCmc3Dsaf6s6zV6pG3sNPETZuakj73yHs8LXfkS57y2BPr7Xi8aIICbhmqmLKDt+9UWy
0Gls3eGJzEh6LOLwidVJdRggXM5YPikbpF/bZ9nmSW3KcbIkSPKD9273kNittu97a2XEuo+WgFkS
0NP9B9GI50v30PaWtcnH6Bs5Rnp0ijGsnSBCylKUAxWvNhiMMcpvyJXmRJafWcY095rl8FqbiqZm
IunhKM069cZ8ETj5MOvqSspIxWnp9noKdpxtEisufAunWhxvz7GtSjMf9n3nO5u0Gk7FEBpHO6mX
7D5x/dJ+YPPGCi+sv3W60Z7GGkNPKCrlogzexpL7MGSnMzRh9avTH6GTd09V5Du7wh2R3kRvct5H
uNI0IY/0QGrcldwFyV3O7XzCKig/pdOZpSunhIf+VlSJxhadyGUHv3smioCbkoOklN+A7W2zieda
RnK77qCLoihJ0Qq8kchb9DWUUvMSNEN3ThC7i6dSnmGrGHgtygZyLyGbzSGz0vezONJwJPTNr7eq
W7dbX0fLC1IbXP33SAsbgiGIfyFqYm/6ogrXduM6W+KXySrQFW/fBUG19EstOpBKRBU314rjaJcW
THkZ3lLnnRzezKssyZJtao/1xuf2XzVBZu+0bMDVY8Dwoy9qtLrAfZyRFUSOR+/kSx4/IN8G6sAe
E6ROwnDV6mW5Dj2nPgI3R6XOics31U33Mh7ZPxHEXjdKWn0JSwxaTEtLEIVjYwiQSl61eRPN8AuP
7xWiqGsFm/tVZ0jTKwM6h42641fAsPeqXJo/7Tx5VFhDzCqCiqcOn+YOcfxfulYefJ6Fb17LJ+z8
KDthZdCsyqE+2NxKy0i1uyU+icNJtmxiC6avvshG9U01k/BXau5llEvQOvHNk0nu+c3yUWIrWqU6
jyhvLAokwnY2YuX4eMCg8KTqhM5Sg3spmYAC6W+0EuOfMqoXCKGxJjERVFq0aARux1Ez9tAZlbnv
dMqrjpgJMRCbRKWj8MheVDKEl8A3RoQQ5GJDmNI6p1X3UwGD8w3xh4QdcWU+JFUTbrUAiSk7aYdD
4kzbF8P4Fiq5d3GgrK7w3G2WpscSSQmGh2ZIve8OMDkETJPhPCRQUeIYEZIybZsXwhMkSOgRTAtn
u8iSB1Qv4KD11Uq2vHhtjQhVKCPcY/4vo+Ug1+bR0aGmBF3hQWIFoDqoAVpmeQfJNHDci6Hr1cmC
/xnlIZQVVL2KSZejr+N9MBbqkgxyfS/AXaiIZnOzC4q1gH414QTOAIl5EK1VAzfLMvSLLLcpgEeM
lnMkrI2yjWea3nbrpsFhdLSV9M2JrZ9kXfpT4YT6KdP8H8H0zDVwhslbCdNflTgsLEpz3QbtsOzb
KD17aucQr2yq76aDyi0iEz/xKfpZyIH1VMj6iOZN9GYPOIRkkwt9Mh0GBXamGvJDRfBRldAxQcJl
LK383p+86UVHxzGRoAh15+5Wl0vIRpYGD5ZpFtEtNnrzZF/nvk4Wm8rSA9XQduMLah148WZ5CtiY
ACChL9bPrRbvnND5YkWasw809td+9ThqOHqqo7obK2erJ6W7sRwbZnceabMRWz6gJ3W/cuJKRTQ/
Ho75dAhW6ZCkCzbHwSpnpzAH+62+mCgRamXf/yI/N0LGZqHCbruUYtySaie774h987iMvRHvBR7U
umQ89DxHVvIghfO4MJUnM/SslRvhoMFPnvtViV/BzMTz0a5YcMn4+owu6JFEM6xFiJvbvMNAGz73
gJdv0TTtHSm5RwO+/ErU3Q5KZf/RpbJV4moI0qD6WiGGXVUvdoU1cGrpwXNbYt3cJoZ2ihyfLSpY
COD8y1Abx12vtSn4nthbdWrRYeODRlypsQUkQvWYkGe6K5BOWIs6DB/Mu3ZECAfw3wkdYOsnuag5
cva169lnT2OVHKjyV1mSBkDK2bjRJRaCCIDxdB+m0EQhdSwEo1doj/FbJ/sqAAJAguhz2ATA/Y1s
qe22GTVzFvV2eW9iJmD4AQlJL8GIIe/xNcejlv2aLCHEOyKP6DvuebC6s2d6e8cwPXSmQokAS9Qs
0R3LHoinZQ+spVEMVGppPpqsmrzaK5+Qrg332O2xyIvr8inKM/vgRPqF3w/CCsMMDen0ZDdedLQa
gj1DempDO7keCnZx86IlATxMvURDCAr+UOffRcH0ffk+s7poEjEYT5Hn4hOg1P2y8bXxdK2TDXOp
xjbYi6mLaGC3oB8NaSdq8g5BJtnAB6aWGmASjlXsmiZ+P4u1PLrPWvKuMBiqSfqMPtdTnkT8rmK5
XcS8CfelgekEWq5oRSmOuxcHfgbOuqmtI+KC494oTV4ASfiAuCnOBhmPRSGaoYw92tF8M2tjUs0Q
dbWdbdQIwl8W2irWjxUeNrFJFr7HsVFG1zkroL7prnaSh8GYaYgFPvh86uVgDfFKYmtZqN54spEK
JYRwBME6bw1Z5zUNctPJVTRZQx3XvTba++2PQctItDYQWhybwG0eRNamcivWYtMZ3MEKa8bp9Hao
rQNZ3mHRNkF9T9iUFEVu2XedFL+5kR99MSSC/Ij61c8875VZHbreI1iU4B6FSvdoyvwogugrmysS
8A2ao2pj8GqZiuKA0B2oWsMhOnAnmtTeMjf4zkldrJ606hzolRfOZDOWCSdZx9AJkSiXcfjDqRG7
mnRU0CTLR+IBemTESF1K2oM4FL7CssA3mwW6/O91Zd3ANOnVYt3HpX7t1ykoS/eEolCvcRY56mwo
eCj6BiHO8c5xh+yi+GZ17irMP/oku+jYXDuRLD1MC3W3qZQXDcTqjgCBey0aeYKo9tCFi0TNQyQa
2l66zzMfIXo5jsnFZt/RWs+2YQrBn3stYMes9w8GXDLM0eJxaTiuvY1K6dkPIYB12FLoTVldUDQt
LxlopBwpwUPuSeXF0XB0bbGi4wlL0SYPvFRaQjNu7R7Q2e32bQ78NA3NH8o4hi9eEpbrQEZut3C8
CH8i0j16VwUr0RrpPdrHvp6DXqHVlYw5ERcJ0SddPvP+AMZCdW+16S72YQqYbDS3ljQCGGwNbWVo
FTxaVzafDPKcqwQAE97jmfmUEEpYgcSX58T1aUV5d5lnvN6lyDIIsfglPhZKfC/Gqk7rLXMlb+6v
YxtAZ7ztifNNnVnhVdgRgIwXrfjeBwsdFuu1CEyLFxbCAAvROe1i8ps9Rjmis+xhj1GiNby8ju17
PHlIaC9FZ62tVURObffaGpsV3gr4yuKlx2eWA+xgi5aUkPgTohEhbzKs0RJR8JVhOe2x9QZrgXRi
vrOjLeiT4IJzdavI3UVSrPaSlP2zD0d5n+lpvypaHeS+1ndH/HnWCHE4W0uTAvNaVytf0RLMD9eq
FuLQQSfZ7CJogzcYO2aA5v4GcYbuKOZIS6i+7J+DpZ32swQDSZZ4gYVeSxhvPa9XzonSf08JTn3N
c1+9A+VhHBPXCFdBb2/qekxOjRE9NXLkvZhOCtVLx5MwhGv3UkYo7hJrHxaiFfAAypFF7GxEa6aX
j0mVtScvsLXn5mtVJN5K9SEa5h0i5ig84JcqFeh6hyQ5EUMah42To6qDZY71xynaj8NGR+hCnX3o
8OFUTxQU1AfCB55xdofOezb580jIAuPtHe9Z49f24MbZRpQko9OPISJ7ohSOaXbAs+u7KJX80TvN
CvAa6hHtGsui2do9OToxa1iPEDVBpsxDXCyPgyu/H3RpbUmdd7xVs+DPN7HrPYlOt3rUGZR7fyBT
/Kkh80IZiXDYArfOogvxCPY6po2J3h+Xc1s2jEapKE9RZC2Crh7e7NF052MNqHlQUnkvq4S7wE7P
7ZA9sj+UPnLWfnYQhyLGtU+cIYtlc3unvMOt8r0Om8Q/WrME6aIWQonofGsQneOptWsk70NrDFmK
FHZXEZUg9nqdtapQpK4Qygob5PMJsAxjitht8H6AkZ9u4ukgzm4Nt363hk/9/kWX2/QjgPgIiVou
fBsnirc+tyv9iy6fprqN/dtP+bdXu32CW5dP01cIpL5//L+90m2aW5dP09y6/G/fx99O889XEsPE
96G0Q7Fo/OAsqm4f41b820v8bZdbw6ev/H+f6vZnfJrqP33ST13+09U+1f0fftK/neqfP6ntgRnS
XC2b5cPk/xJMt6E4/EP5QxOpKEbhy/U+6lrGTjC7znItXwd8GPYfryAqxVQfR/39J7pd9dZHJu88
YiD758/zf3N9NjNsvTs9ZHV+u+J17s/fw8fa/9+/+3rFv3wnNRwIo+hw3Pr9194+1ae6W/HzB/3b
IaLhw0e/TSFa4umin+pEw7+o+xdd/vepwNQ3qLkgmqeHQ3Voet+6L0HEY+FBEQ+r6tDraQVyhyIY
LbQxC9udS3aV4b2MliOUKYcV5dQsOvaDByYO8AoyJHW5UbO61+ei2cNzDBPdPZhfGHSiqh2deFs4
rAJzNVcxbEUfSiephFNTMSPNAPSS4PTWIOC67XpUz+5QqCcfjs3N+6nRjxEuc1OtOKjW+8Bb1XX0
1MPFJ0GalVX8FRc2aY2GuDFLkyRakpMiHiUn2RlU5kov0vqg2WZ6loi+7AynPok20avgzkUeuezn
ytRDdFPRDrnzCbZsRBekHlkipSxNmVV0iPMMDJceAhacLiIa/uXVUTg9WYbqEkT9D1d2Bm/Xqu43
L9WIwE2U/REkFjiwia4vypjY+dCYnffmW4P+u4upS3TJerqgMH4dJsaKg+jn/J7FwJhxkemQd7Fs
BoBYhmQBxKk4ECW0QqgzNN0O106RbePVXg/LD2NAnv7R/UMtbH2M4npNxuGv8lP2mrp5wJwcjcTp
LK7iu7ZFy/RTPQuiYM76lN/QpwF97e/ayFvc5hA9xCFne3vXYKu0vNWJMz+22hU0yJ+f6sUkeWVv
y3w0N6JRVFlxt0jkYZIF6gwwk+QJjemgleinmaVzrReNol6c3Q7A68ytKI5tkMIlmmaxSaa4Zfg+
VgyrMFadB1qJU1GS9AsgAIhbhqPq3JlYrJ8YR5AEYUSJXy0QasJ2Zr8Inaw+dZ5cn0oltzZWa19E
1a2+HscLokI2ew26ikMCHHlh6h7mpdNIUXe9hpjpVimuY1vecL2OaJDz8RVNoAptTmi64swf/Id3
vu4n6q4J1j6/u7ZdzwVnV7B3/XoA7VDPnQJXa3K4G7nWtBgtuCKpNlKBi3xx50py+afzGpMreSa6
u3XZ9ttaQUoAgQT0UUPtnTsdSQ1usvJEo74dtLzqFwbRfFH1octn5rVo90IbOvaHrprkdmK4IGIX
DtLRbhN8IXqXAzKGKF3Ftrn1J1AE4vjylyST8B4poDj87uGbioIXT4dT3PoT6CdKAJ8vRKU1+tkO
/qtBAGSOk+c7NqgykAs0PTJHU2yPO+UckEXd3qJ/lpIlKzOu2ztRl48ovrKliM812bBrP6AWHdaw
dTU3qrx6wII8WQR1Gc59I0QIA6RgChwE157OdcqHvBtKNOSpU6a6BlK3P6uI0V7LovnTPL0cHtEo
9datWXW7Fu7zzukmIR5RDl1f29oqti84Is6vDQSfwAP0VvPN1+qAxL3azmTJy+e3GZo0fJ/rUx2G
XNrWVQ+fqk05kJaSijfN75fHh/fK9W0Dm2icEUNQPrxhxIvlH95I15dM5wbyzAP0hJ93bc1ciYxp
gkQ1ch0ZfkZlRHqFQ/z7bABuX93dyqK57aLriE/1osgOul2C/H+tusZGFFlnv4tzHpbreiDtb4fU
rd6LulffNcBEdqJR1F/HtrBxZt5Yjve3YUTV3XmbF8pMF9IeeP8gSgs6fa7qWhAAAlaQHreqN21A
p2JTpxZW6WHKxjSoinU4xsU60mJbPncGsQMZUc+Z6FNOHSNBVRgm6deGrNtW7Q+iyvaxIWAx2knu
rFLkZOYglXM39ta44jWnHCGzqkdxhlXeXB2xgrnVqwZ3QaIaS1HlyIBq75Q+N5Y4uXdQ/Bh/OxDW
4y8B9T0PJGfKDEzNgY4nkPL7aqKumi7ZZ1i+T1e7fQC/RHcKv+Xr1T7UpzF2jfjWwGBV12McFEvi
1Oi4Nwlm0RLWBCpqRn6TdN9sVPVmJaT+E6Zz730DzRo/9e2s15LLxIV/MD2FFEBTyT649opwUuqt
NETsu2tzYQZEJEE6vNdlEKuyvogXYsR1sJgHuX+CeoWPFuQ0V5mBo5yLGc3eX4kun4dMc0OtDbZi
hGhFgHweq5bVm+hUT/rzFe4f/NeZP0xcGnMlKr76Zoiuh1HFx6KMqk2v+lg2wXO5iL5h337uK7ej
QZoG6IOkIuxpKbySBGegUlsJMkxEcSIUyLiVXVsF20C0WjZAB9EqxmYNech3IReXeWY6eXKc2GwV
8rBOBL4AP3UritYCCZJra5Ll26DUATRVyjIE4oHcD1r/CJXA4JnObg23On9qBcGhLLH5w3h06icO
XW29N8Dd+DGS4Ru7jiTqbYC4xKeZxCWGySxYNIjOt2vH04cCfVXtC2BNmqVjfjIAxwvMPnyDB+XU
g/zm8QWQLAz0ewD4ylthKICs8uFxyDr4eVIUkwn3EJ1JZYvkp+zuvXiUz0rAD3YaLmZN67Rc98R7
/92sLr5OSi9JloU1bLI2OhtjbLeFmQ0+C5ssqd0FauC9oF639gqi/bUdjpesyGZ9rUjP8Oeyg4q8
J+6s9IK0yNrZxJ1FtDrIMvKnMKVoFVPCyut2ojXQ5Q9TpliliivZdfaDlALG5C52yrpqNWdZiup1
Y/vmIiFg/yyNwUG8h289YoCf6zywjIVfGWgu6q2EghnKWcVSrJNHDIS2Oj71n9bKkCpZgY+yrG2N
8L31vU60BFX5oWXoef3cXZfqJHxW+JDgZoTWAk5tqOjo1QZ3M6k7/C7+P9rOazluZOnWT4QIeHPb
jrZJNSmJGt0gRmPgvcfTn6+yOWyKo73//0Scc4NAZWYVWlQ3gMpcuRZF0egoh7X0bmiOro+uFoBV
m/3qujP85EkOAQCPOgOLJyO4LUzkAPo7a7Q7FK+XYr4qhmnkJsuEld//kwdP97ZPEuOqSukR2i69
flv3g3eUkMUMpwfXX68uE0x4ha+5g9JVLxNoZUat0mmSc8z5umv2WFdVfF7EMtruMV4ofMqn8IDh
XwdN6GwkVg6gpvMd2KbpYKvlV82Hv8nOomct3+mpPj5XQzc9owNvbpPJia/FNoO4vQcV9ScU49Oz
mJrKhiqo0I+eMk2g0xFmcnmLVMOaTR9ibN/EJ+E2hOPboKBlp9dD+3Ypwt/gDpnuAiRx7pZwBoUu
p3Lg9q5p/d0l4GMUShCvUyVGhmHVR81Gxjrf3L3pIEAvEy8xRZUuqJC/zRa30y6vi52XkHFdeJ/1
qY2uPoS4nc4TNQq+xE5r3wZDYN/6o5aAHVx1TuVwGYtfIsXt5ZCJniNl7F4izy4JpSCxIL4Nz4gE
yRpydrmku0aatf3l1SSSPWq8iaFwu0LTbn70XC3bIcqQ7WU4BjG20ZofIepCdQ4OisMHRzjlMNim
+c1HezXfxnVhILHdoiIti8z+s7nU00NkRj3gpMI7BOwsT65etJuwXacbGcohG3wYIMf0XkYN+imn
wZl3ZRbHj5UaBXYUnWjMvExpYOE4DlCThwsssdtg6GEZCIrfDdq/ky0cLys/ERP6VZmuLjzb8XTo
kgKcUtNCLtZPp9bT42caAcBVhs9ysFK3B0HkhLe5svkdQNV1hTVOvFTrh8cyMm8bO3idYI5AGJCE
4UeOiVa0Yu+tY32QeLC35f1YeX9f4mkNBN7ldicJaMZm2UZjvFzLcO3rATCam2xlqPm59VTWX4ss
f70aPOAN6UvXu7HQxwR1U1kkbXzFt2gmIEdqeGF3WpdXR7ElqPDMbOX/Gds3Fo1yRzGEapJEyVAO
VuKm4GiqaPfBcRnCwmwfYgfpofarZfj1cUYl80RXMcUmeN22DsDHXT9164EqfPwcosF60hN/A4d5
8S+vzLWHYCOxueVHzzKf5v6P8yUitvn/+nCFt+uL87IGoOADdfnuMXAS+gNiOLwyyIfDjUvzztHX
+j2dGRFEAs70R9un0W2qMNYbiR7cBHXR2Jo/yaG3WvtYh93ebPvlU+nS5FGkIeSv6l+YLeNvYee0
9+eRTxmt0xBqyeTP8eaVT1f8wpuTEns3d1BzUaWJn0vo7q+pVSPpOiAX2mZ1ewtcEG4pALBPc7zN
E1XwV5ZKT4Nbdy7/Ftc5SCk+5Y2f7C9zIkTRN8sYva4jDj3//7nO5drz//x5hnHVt6iKNfsmd9By
6MyrEXbPmz60eN/Kx9G6XxqW4dUrt+5z10pvZ1qAS+UQ0yTec4yENzTl7I0+oJdETZFIWVuG2rzq
QAQiCJ/6rFn2YhT3+YoSPtOEtKf5ChkvP0GZV+6j9QLOZ1Pb1nI9rP1et9FI3JLUsG8TBOKAbnPP
7yMeefcyDuT+Ln5yOYu/r5u+v359rwnn5IYsn/bADyR69IfcR1egh6T1zaYrh5u0dOa05tlewrxj
n0+Lav02mk59I/Nllkww+Prs+KZAi6Lmi2MaC//eNRcNWYKZfg6orsFKNPfrG/P1h6E4xLasDgLI
K621/3OsLJwn0e+eCyNa6z7XkHhv5cwGtHI+K5WtzjXnWc7+F3G+56MrDulo7Of7D9xYMjSB8Wpl
AmD2jTNL7G08Ru94tHKgBTmqCRkU50fDi+oXeo03tl2AcZ5tCwBz+mwpM8IgGTIvpERl6DS03sOR
pAFgXqsX0yAJTxbIO4qXN/rzGkgy2p9SL36OaFZ64ZDxs0U2NghI6iFVpV9VtffUhW57826IttrN
iKojOI0uOHsjyMpOqWs798J4iZbHyVms4U5IMENFc9klWrLXm8TcnVkw59TN7tGKOU+QWXLwrfw8
VUYyf3aydO8BpdnVfoM6azssV5WRWKeaRqv9UJMnsx0HSRxlCzW4z+vK7c4h4lhYABWhoLytzeWv
IUJwnNSwddLb8lZPY/1oDL2P1tTLQq/YqVeuZei1o+HO173lBcmWW+hym2nm3+dIm2Yt0Ol2tZVr
Xj5MHg0AQoDF1GDY78Se94FSZl27q/NSlw8jbvmAqZefP8hluerFCDLvpkyRGU7UjlFU5PxEG6+B
+tO3ddGlE6OxrOBuZb8o4WC+iVxMlI7UBvOyxMVxsV3WXtUyK79TBG/mr6TQXmio1D731YKy7GDX
133R5iiOwFkG8PGPnwPmxP8UthFpGaECWnT6ZCyIvIQMUI9da+c2xfuhrYYSLF4JvgzF+2Fu5QJP
78FYb4XYu8jAA82h/w18qxHeRkZf07tAQ2fe1jCAC903uV3rKNHdjJhVa013Vf93Xjn2bQzF0x2d
pPxXNVoNwY42VfAoK6tvUVQiJSTeRYXImRzajiaps+fj2E1669Yd/6iR3aYvWsXJcjImiTTQCg3f
8hK51SbKxoI2aA7WasTa9dyQsF95jmxHB0Llv/PcLtDxK2tSn0lR3HUgorYoySDroCZ1fh7sk2FI
eLcqPc0+NrVO1/q00AGoyIjVENao5TGIwyHeesjJiNfRx/a09np+pAHvhV1n9W0olFB3lYQvwwAc
yRir5SVsEmcDJXv5Enq5v6mqKPg6xB06Kg49u4NFRxNlg+DW8JTAtWJssNM0PA8NoXqo4Z0Trwwv
Xgn+387N8yjZehNb8l51f1oD8BirRUwqSQLv6Cq2E8pnoNgXaoZ3U9TsxTYDuVxRb1FuNaUYK+QI
1Ao2DV37wDDbvd9q9TX0Kf4+o233NzNLv3a0GJz0sTEfUVzIN2JHZt7eFcj93QQK1Ev7M69mxrdw
bfpb/gDdDrhW9hvdbd2mi4LwASzg+lRr/UnskVk0yCjbDokxLpJ0/WGwgRP18Gy+JN+tOJ3/nNYo
3FTc1k5j3a/XCYS/17pdRE9sB8HQuyWK6d/NHv4TiYTebDm5KbQwr2/W8E3S+VQu8Q4Ki5weqJys
UaskMMVIq0G+XxYvP4LG8x7LBo0ELXJ4mr2dRSWpUrElb2cX7/ksnavjUEKOlUTuKebt9YbvovUg
B5rY7QcnDfUrN7cqJXf03iFDNE9PdV34NxJ7iYgtcmeuA+YUfb0nyP3KZ6PN032oA/uvOhrHUq2u
t87o5X/0c7pd7WX+HiEauF9bxEEuEZ0qkfzXCOGJyhFTLZJ4+W5HGg0fJVSbV7DbFPyKND1+DNUO
pIsDb+fApoySbx+TiZXNiae2IeIPEbwHHejcBXCGDggb4RBvkPv8aJAoW7S6pSlE7WneTVNrUwOe
77r22CdZ8Yc5kvC1mqB+WgAmooComYd5rbWvZLDOERZNP5tigXjITWmJKqkPG5bWPUFg/julZ+MO
Zt3+CR7F5SHy5mur5GNv9WqpDrCfTzuJlYOl579DYYe8gJreDMlKTyUc/WxKP7G53I4r4mwA4uxd
v3jzt74jD1dZZEfWrl++oKC3kxZo6FHZDg+xvZMuZ9/0jI3vuhC8QzmPzPaoPSfhsuwjX6tcOmWg
xZVD7Or6reaoA1jzgrsIp2BrbZOWguFHwb2RSoHySLjqaf9Pp2W0QPJCOyx9r80ynxJ1v4bsy6GG
g24yt9yuL/9aw75EmzFaIHDlsIK7vVsRrMj9xbsWk2VF/G0/hJSpNd/lS2xvVlg4dpe5lzg5i7Lu
Kn1b6kNY5j9qgVGgzwXlipnu+sLZITZcfnLqnI2mnSHpaKJx05kJO009p3F+0Ncbx25/THURHMxR
X7fCMJ/NRXcSWx+M6/ZCPf8fbbqaS4cframXGFkrb7tpO8AAvpPC44Ug+ly2fFfHjIfSPYTT9EWq
lmf3mTv63+fn8qZtWTQJy5JDNbiHsRq++MkO8suNY875cVrGMd5nGq2eUNd/HGaqyxi9jeIedvcr
Gb2F9uo+JjezN7usKCOxS8RbvNjRVe0e3+LlkhIafHcbCJhqxVoth6oO3X03tivCcP/Y5EzxZx7N
KoDGVmIcH15C+vVf5/X+RFOQRE5ZEx3nKfP2KO69j7ms2EO8dkU16k93bNzbpnEezn8PGcJ6RVs0
f4DLv4gq2zlMTL5IHL9NPQ/F88FGxvf3MEIDzUBoad/13NmEXaDurD8B1I+PEdBiMKxQ8iuy8i5q
CvR74AmVKJnkRSPsC8r770l9lx1fSyVGYqA+b5e0u9XZcmztqFo2We3OaGkwjlbq/ONCKVFsmrK9
D6Tres/dSslv4BE3OWGDyiL5N7DXFsRD6V82lbcbrVysT3JY+9HbeRNiZBdbS3sdJUQ92hQlUoQF
euW7Ceb8RzmQrQYj0ZLzLucQBkejCh5jN7Me2vm7BLwzD6NxgM622IrtsgY5OXBPneed1xCHWxrB
0Yx41VSXGt6uBwooP6yrjeLCzw7eOf6g9Dqip8znEGcT8DOo7YEvX2Bew6AEJYyiVYPUsD1ZZkWf
tWc/diUka406qAAxSYAcUu+9SULVRMDKznniz2tdlv95raXqvwVJatz6ZrzxXKd7kkNqVPZVZIQD
4mu8LG77ClIkcw3sm0HP+6dxLIJPYxGrHNWab6dosq9CnejzmMQVtfjSeI32aMf5VLGV+Rh9uZ7M
0NX6YlvsOfg0s76Mhtp4SYr4RXRt54nXvSaz4hsZSutOsHqopsL2KD08RRogpmTcyUCCYpjp6WW0
PycI+p0bfYgOr7IR1FTr0Ay2HXzA0kbHL0dmyFw6kF8vdVlKXcojiXuUMJT44lPY0uen1tDpvLqf
uEwRqMoWMs4oSsWALMDpf4qLEd2VfLkTkxxqWJ2uvDUzIXMk7KyemBKnO8Nyl2lec9vMduo1B6Ma
3WvZSmTyiJNTOcDhGO56BLY2sk0Rm2xL5Oxiu8z4YJMFbKp+G92vhn1MAyiQIWjB3pGG0Szq3bR6
jhKDohOj3fWVMKxa2r3jmFBkjrFZHDT6Jw+tKpCuWV0caDPIDo2qpl68S2T+MRsgaCjpJVv6lLz9
B5i8DMVbU3I8ey9oeIHTU6WNz3M/OM5LKW+28k0OAh52AV1EdeV8RYJ92IYGjP7+aDhfw8H8HsK6
9CjOoTc3kOSZn5sCbY/FjK/EHBe+ebQm+nBnM3G/zpXe3ZTokO/E60Sdto+ClDqaukDoNa8XOC85
ex8uQDHx3QUSv/MPUJmCeqXNpb934mzLkLSLDAsHQN9imNs8G2+1pfTvh3BJdp2TIEtMI8dqwn86
OJp9mMzKhdSiyr7MWnuSAACUHmQXkfV4mbnSaPSjMdgEB6H9LV8L59A7EV8rB9Z6VE/hh0n42o0K
7HI5iK2cyfKmQXl1sQdJOx0agJLkuRKab36eKkNNwJRqLn261bu5y1Oa8GVyhqitN4PSp5CDWw0k
quS0TYFg9epwcYttWSPkpCcSQeL4uMR5HUQptzNZ6J1lti6Kav8cpmHsbsca6NKbKQKNdG/NEO3t
/jml5XBcu3cxVZ/MV1kf/BDtGriSzWOrnXVuztI1rtITEntTXEmQWORMNIWQGjKPvNtczJFh5XDa
UWT9adF3613sPy0aIfI2ll3ie1uTzim1p5ANiBP67tU8Z9/PWxRll7MP+w8ahb+N7gqeVkWALzMP
STqTLVbDS6ynVmvi5Pt5ByTe835mbKYdACf/LrWKhpRO2T53OQ18urbSjFI0HjzCjfd5celMh7Dm
76yv/S8G909yeEZ4v6Zte2daACGz0bOe+ZtPm1jr9T+1/hE19vAvNcdpzNc5oaGF90iJtndrViHa
NS3bpajYFZPR/t5zf96MkLg8tt0InYcesfuKi/V758H9AF/kss07uBy9aal2VFTSR6DH843rL9qV
idzdyTeChp0PfVhWAN2yuvySTJ/msTO/fZhk9K0G26pdnfoW3gN/Mb0bewqWAtUJXiDpD2q9Q+aU
1tesnR/yxc//yKyMTkre3p7g12zpMSUi1nTrazuND5I/+1XE2xr/MYImNuS96ALe+UP2BV4KhIsV
DGLY61S3vjpL19IAFn8WQEUV6+7tDMfWGeZQ1BZQT9QwDtYMe9UA3+5VbZUjaoa2eStIiLRMzovK
/H4niy6gJWVRwVDQ2OmdFx0MZMFSREuAFvOaonsTEr1NeY+2ATsQFKvOQ3rou5PwxhqYyJ3AsKJM
YlemNtXLe1nibR0xpQ68x6lm8GeGvt8F9EjjFSQf0f3qmtlj5/jddojj8o9B7dP7IPi+oH69y9lo
nSOcXh83MSCdAKTdwe1SGqje8qnQAXSPVZ0bODxts0j+9GJ04MHejIbG1kVmU7RpNiacD+qBHLm7
al5Jry1F8Yg2skGfNXxvQ5POAKr+7Whdjb2EckRk1M4zsjHgW6wcUVrb96YFD/FxJlVVVJ3ePb/m
dybLKw4zBer7uTZgABsX/fc+e0mjFA6iMda3SbAgsQm+6Z4G9ktAOSb7NtfA82mpf7X0w8HRe+/O
XULH25EuyQ4lRIqgjIzk7E4007tL+PdAP5Rlh5zWu5vcpIld/mXArPcW6P+XYYbp42KHG2dv51n8
8ot4V9nNJKhANnZwkVXQe+RZy69U5SRlrPtRu6Fs7FyrZ8I2qI15Y7tFj9hlY710VF7aniQkyYGH
uB3qjbBsLn4GpZUG36EMbdf+75MawwacVy5HklQV9LfqoMFTCbwQ/Yx+/cemHGlsuyjCTMCedJS0
YDeuDb+5T5GlPMXqUM7Ovqsr2N3VSA4A/u2k46VTWQJk4h8HasUygsMRPg6QfUc9jO4upnRui7tp
1H8TkxzcIahufN3szzO7pI1vytb5C4me4Q7uT2SMhjkb75yoGrYQoTvUmKaafLsyikci5ewcLmM7
Kv4qc10HL5PN92yZjH2zjtNGsJbGRPcN7+V4ZCwxciYHWNLgLcjuL2boewFw1sPwOqHtavpnV/0x
Mz2kjLQ+8LgnayZ/uaEN90sT+bs0s5bP3RiTR3WCk6mD5YrnGvZQ19DuxLlOuk5DZdVcidf3nea6
CONwK16fR83RXbzf6SxePjtwQT8jB1C1bTtsq1Z7bCa4xSSycujObhYUBWUds+Wn0znTshev2Q3I
stPvChsmnwgcR/opNetbWVYiQEJC2Kc1TzJKSogo2XI297IaOasBEvtmgUbLre4TGyFpxxjZhq2x
+SWkmZWCRwJNVDLp1xNf5BsLGt0jXdncmtuo/txAjrHRpyb5UfFHC0n4RMgFdTs9SufrISoBXKjU
Kdtp1FGTuIEVj2FhVrG1Ac2QHXkowddS2zTbaLa3S/vU2OZh8VNg7CECEDbFQS+bZBMrHTpNleBC
JVKXkwMKxrl/EJM43Q4CGz2wJ0RRiRCHO0DkJPPFdlnEcAYwusXwIHa90yYkadDMol/fuG+Hpryu
4/AUrpoN9ZdQWkWFCZGVAUfqGqZ/FDzLIVdRnrgLOEULJju4bQnwSRnhbiZcTs+hUFcidTdQlgra
cBcEL3HVL4+XFMCi2bQFhIl2LYkDcSSdPe8hUW533GCtT+LIzY6ad2W8QJCR33pVVXLjC8wruxiC
h7pH16BwEgQVwnXd6q2XvvSTX228tQh/b/zmYZpIyG/m9XvNho+/atXTQTI2f2V28dWZsvL7oPFf
S//y8oX9QIHoZd6dhrEiIWA7CLPH83q9RN5w2+jBdJdQIPt45Wq231/ZUVfW4vqhXiryLFX+naL9
+yuPQ/Y1rQt9m5b2+Lgm5QESM9i4V1u7sqtF+92a+J4HQ2Y+Qwfi76H4D+7p+R9vqaMbV9aU6p8y
CM22XtfU35xueFGgbeb/DbURlc41+10zNP0lGr1sZ/Kj/xTloXZF/3Z6m2Rpd5x71NOdYK0+e3EI
YXRsGz8Q0nj9GAYfQwuj6MdgkQT88DGWNfjXx0hsv/rpY7S82Bwt3pO3w8zvuZmQr6AIUXyGCrY6
WT23FTWyA50DWL4SifoHMfG21e2CzhquZCjT4xWskgx7az5Pp6/b67ZqKo0B9JhDiuytdrIbrdh5
DiujOLHVApjQO8/oCTjPY6SSMIgg3YmtjSKF+lVcV5AcP4MwKk5u+DodSTDqiYlDNsEe9Puht18P
nTrLgL+72gi6VI3cZFzJreQWiVPlgZwH1R4Ug3VYKnci2GAbZBcogaz3sMGiqaf/IeYO6cFbiRKd
Gokq12W5rxv9xHtLuE3qGj7MZbLb+1ExqMjB7EekM1GSukmgf7y5OJBGIFp/i17mdl/14XVfsXO2
yJ/dSPEuz+C+gmHChwwVnLV44bwObqTSV5jrsEWCYEOPfLg/AwfWKY43yAj7V1VitNaOPp/qwVBG
NBX8K92jCX5RBzkTrwmL26ZX3qYHOzNMfXVTQhL2uMbWZ1NYatVocfXPQmErPjW6+FSk/hb587z5
n1Vqq7VoJAMWFk7Oss96OJTkFfD8NijGOanRCVEvi1Iql8M52u4tunypsF8OwYK68FLz9jvF7nVq
axYghWT5DrBrV+dB9rIkbU2rH3bhps2SACaLJj/b/UUxjPnh8l3ZL/GGaf/F69vEPYzcy6wY2+XQ
ZybdItOQkG7DdvFGKq7w+hWwg+wWy7yIHyKDB1ffT3RaqDJPEITRbrYK81aqO171aV2X7uVD1OSl
qrZ4m7P7P2n8pw2WS+HCTzx755cxBc5G7fGtbj41C/+lUtYYTfZsUl5Dy9Y75bZuPcOys9d43qCZ
4gz3Ws5+TZRqzNzgdc6MaSJSOjbIvpRA0+PuTrw9UuULtBVPURTbsoaYR6RF7+OCNWRJizwYeKSs
2BRxlaFgNcTP9dI00O8AVGqsJH6uIO6HrMXfrjPss9vGGtE0DEPv0NjuqzdjWy1TxfSr+SpCnB4N
dnsHTRpEYFuvr9U/pTsTmHuV3dzzT+nOnOW6E7f34l1VZVy8VMcJVnXzi1d+TTKMPfP93F8Fy2+N
u1p2P92ViTdvSzfQPmvR8q+zZTZfbdPb2Yc4LY20zdy181VXZtZdPPuQ7qgvLTiIp6Wel2dn7K27
elhQJVdfzha6b4vdyzu7fJnDf+KnFC7QdawmV9/XrkeCCBKTu7WLzbvF7F2klFNrI7aL41dDcgmo
WMu8i9sqV3fXx4hWf3AYav2cJ+6u9y0kvjQjfpRDUeWf6V/1QDz+Y5IzeN2CLZzy+b4SvUwx1mkH
bYrrQ4H2c3QSA3bP3R8Xs7VEyeUKhVe9XsFzwG4p1rhga0ZxvpcZl2BXK56jqbjRNFg26V5KN00x
pwdUlNkCeb55069686CrUq0WF8GdPgAxUJVenrTdU4esMjILDbqtKkIcRWffGPSQnSfRXjzsOsTN
FmMNH5Aj7TdaHtS/9TXlSMcs4rsiHOsX9MjO9nZBpQhBInvfZG3zW827qmFU1ZNVhrAVFQtIY2Uf
1XQ6oKLL9AbJ1efIHb4iclHt0N7LnieddIuciW1StkXZ5Oz/TZxWkV4odajL5zk2toG1Qrev7mjO
1Tou/TfbjJe7RQezLNYsL4ztPHFHqWML/Yr9sEKCHSDCo0GQd2i71LgSoYvVsx4co9KfsmLOPiWd
+aeYJcpPfP2qtO3lm4rSA+/KKsDDVJr9zLsm3cwONwHq8c6z2Ko43s00OZ4sB32S1IEK1gN1fSUR
MsFeSHcqAdhnsakJowt76zkP4JtRAogv28PaHb8Al25vwrE197FKfXnYnd55b6/YFn1X8b+yT2uO
+mwTbuI5Hh6ycvIPmTlW+6qMiy/QGFrX6FIG2zjsiy9T3NK07EXeRgsYpmtIUkLpHEmwYcHnMxbT
gzizOl2fMkjIIl6dJnS2dkVUmZ/NYUpOk9dP12Pm+jppOLe/rXlY5pvJiMIb27oynK4b/xSHVkF3
dVeYc397Dke2D70ZRKhATzWwsKz1/GAn1fDS79zZnl50resRnJpz1EwYRvWgGCY1ZGDVEFXSGnEF
WllkWMwomEXO9ExlOjj5g3sUM39dGIoiQO511rKkjwpagRDMtXg9Y/mOSn1/yHL2d5fHLdmRfNkk
ZEjQAnj3GJan7eXhG8571dT7LkB8sSiw4FyReTk/q2WiSQ46gQzp3obdnT2kgYq6qrIVw9w/JWt4
6Ic4ehTToPvoHcftn+IT02XSxfbzpH5emztjmP6U+P/bSYkUAOUqQ+eTJ/XmxyCNgHrU3WQ1P5Y2
utNS3jafy7CvPpdZ+Leh3roar002Pi+TR+gErfPQ/Xko3kswGavueBlOGR1nRh41u0C7CW3VWTxb
/vqJUSR9xuMvR5ZXlpspd5snICHm1ili8+SbxnJAVrq9hwhuvJ06xHICz+8eyS9bOw3AxJe1QUhj
qZr2h9/EN50B3nZTAeeGpACh0ML6gfJO/M01PXObUW47LzlqivbRK1+XnFYAS8PkvC5JS/l9xHc3
6bvpm1aZI9SMnC304G3QOZi+lR3XlLNJ2X4ZV1krNLEBhKXbuS/ig2iDhaRVjq4HxUUDcfJehu3Q
IhSOIqcohYlmWF2Y3vHNLtJiLgkMHsZZyrvg0S+RDd5wYoc8fzZIdZxP3rv+S4wO4Od2XBPrEA3W
sItXL7xJgmD55iFnPUxV/bUzqvSYwxC9mdH1+CZhCUqPN3AEo7Npe5vaHIPrNDPDq5hmxR2NyfY+
mWr+r+t8HXZWlaP7IeOltwdoRWx7PyMqhC6ou+4t3bsCy/Rn6CzRjfDWA7rqH+XszX4xiX11jHO8
pWAiYnLU2Yydp2p0I3YxifN/tH9Yn+/4u8/z8/ryOQNBdLytPZnOIaCr7WBoLmrhb4cRItvFHB6H
MoP3vZl8Shdl+qO1vDDbg20n/9MOkIyoCecYa00Rekk9VGFS7tL/XupieVvuPD2F0tedCxTClRqC
XTnqW9TV28Dw84PYRDthgPn0Ycr1jTWa8GLzKLXsyLihNKqfcWOTn9sbp/OHowfL/JeksV4fwGn9
GnaGkamwoK+GI6wh7pfsn7C1n/+12s9hMr0KI/7fXL791srGGAWmx7520KS3Gu+UdIl9Au050T/M
F73S7/MeZguJ7Gyrv3Zdy4cr0WRTouLbNYHqMG7hupWYRXPcTduBpjOpsZxj1BVgX3beXUHfncPz
KVzvoY34JNGy7Bxw37LOxSG9m29nD9SKHWrFdY4O5le9piQRemF0lCFUf1dt0SfPGop0z8Vi7RbV
45rllnn0667ayHBdDesaMmb97M3nGCDMXJbX4pUlYwQ3jjJUSy45nHyyZAm9Tj5E/dGJQmhRtIBk
Rbw1JW+iDl1bABNHDu5ecilDVK9o4iXRQYZGFk93po5m0djE5eeIutGznZ9TKRLQNlA+X6Z3XaNv
A2/YG72FSmGUBqe5oVXNjJbij3oaoZ3weoDGwwj7w78jJr+/a2ce9R8iQE6RFlclj1+s4bF/382J
hT487yyFuQeJQ0rFtWyOq6LdH1PtIET6Z9vZD6k+JPtNCwusU2rGldPYVCVMWE0ppzX3ngwpmZyH
grARTE08OWfTBVPzNknQOhL1ZpKRhL5NNGlHuI8jWqlTs3oc8uwO+UHvGWiw9+yZ5lfauNojJLEe
kuWNvye/Pe/F2XtacFxIWfXKKaayzB8qLzdhpWV2ljjpnpb69iDTfb0z2Im2P86z1SSkNK6A9yef
xKT7Iy9VED9fySeYR3+4i9ED3ohX1jCpwZW6OZ7ENNUaHUSTl13LR0Bdu7l1TFcHAPLPJ4LZB9Uv
7UksvV6g+rT+CNNkvJEEXAdB7tXaDPU5gTclVv/Ag/YkTvmSUY1F9D2NT/IFi7Oeto+fp3dFXe9i
14S+ucz8m4TnANhd/6YPmuKzY6bl54L3JGvO5seosfiOO6a9dcy4uxYnCOn12oIoYSsT3qZzvyog
cV28ve9W6YNlPQtowuQhtAPSu8K+A9991lBUbqc5+QEN7u/ugL4PRCPBTRGjxujlufGdieKXiUut
+TsnBTRT7jQ9NW8cBcE3tGa5pixuKOhFd6Iu7GzCus0PPqwFEzJI34YssWA7zalgqMpir6RclB1k
rfnO/nM8NcOjGbTxcEPr8gyENQOpoDJ/H3KAtZfUWyuhoHFxvEsWtpIJ9CZYNcuEe/g4VnBpTOEJ
Fa/w5BpUWXg9Dq5GZGxPcASQ83dp/Zr84F4izDA1Ps3D7+viOOk2D2JX0Yf/FXqTm24dxQ7cqiUl
VtaQJZ2mRbNPXaEZTZK3A+rd4UjTm9rZcV9ykfGL+hsZtqa+i2GF/ZKw8+C15d9h8qgYHRS0g6L/
ZVijVhMg81uY2secVxO7XFQb7O5yUVltGGFUHrMJ4ATCZFf9mmV36ILld4Wh2VcLKITHeKqAsVeG
/zyEpK4b06l+M5P4tySe6r+aFL27zJvjjTUDgW7j6q8haH5btLj8rWjKFGmczHteTH7MtRbnjwhU
vF6lMeb3V3HtJN1TB2uhP/7eWPorawxK09MdmC3hiHlnRhvyTCvzK5tMUhQcfmQgsRH4+5zc2zMi
MdWtQ3UGYR7HfhZb1H3rJ3t8mgweB4GD7HC7woV1iUf6Ckhjp/OW2hrt6Xx4GfsV0dLK/uQss3tr
qZdVF+zGwciWlDL22j1SbJ+dzQfjWTxejJaKTPf27dz5/p9Vpt/rsJxcTjzXOFuCf05+iqnSYPma
9M13eUeWt2V5UV5GxOa7UL8R+xT4j7Hlg33I19+GCNmBS3pX0sDKbpuIndtudJDOg2X6WkcoVSAV
YewS6oxIzqXrgxV2+lYCnOBr1jf2Ni5pVm+7KN92qx4d1sSxHzQQt+eDEZjxfdDZ+7EISW+JQ0Im
5Ja2JT+yg9hG+v92upNECNMN3eM4QRfSO9l8qMqOv19TaSQgu+WWl8blG+y5HhKVjnY7qKFpHppg
9l5qyGvuHB/1vlhpRxvF6m2HDgr/1dNKmLDqv+rF0r6rEz+rX08M+HGzDkEQx6C6WBq58bXx+34X
D539OBloC2RtUtxSMIDRIVyDfW2iipAaYbn9P6x913LkurLsFzGC3ry2962WHemFMRpDD1oQIL/+
JIpaotbs2efEjbgvDKJQAFutJglUZWXmFch3Ints8AvEGfeB9gaQB23dQNIvlbqx/u8+5EiHNAXb
Say858noLC6+M9YF2G5ZJ9py9mU83pnaeCIZsiw1hzvVRztM6mtM/FrU5vSz738bBz4UsNxL+62B
LMMCxEfxQ2yF/mbwgbERoDE8m2mQrHndGs+lxr8XpQx/mQl48LCq+wG6Z2sh1SDN/GcQwLfyjIKe
FMyamv48SjkNgqzqNKgpEdAC3EQL++yY1I62zEeRLhFzyo5RKEHSTj1dmA4fp9Q1ZjoCKE4xHiyJ
BBpTZZWlhkLwxIDwOrTAklMQgkFDK9rmXrPTallWbfw2FOLqOaj1WvTie9/63S+UTP2Ofcd/9nIL
PMy+tK+Zp2fQfWrjA77Z6pwNlrlubd97MNP2JQmj7ajyR3QQ5RAAWxOjbpzauYV0cebIg0EZqC8+
n92xHw8HanU6FOe7IRi3BAkqJXTK+wYRvQkhpOBDoGT5u611wUBBotTkTH7ycyyhjmg+8vuv84Hb
Kzr7WXcC/wbKU3RPW80Rlt7WH8GSDsyNCtIwG6DA0nFBVabQ0epAg0JoO61n25gGF0N7q7HtPiR+
UGGXrGsS32G0mppSFO51EEWKyt0kQLgAxEmJOlAHmOzCheWwePvFG6vlVTPk/Xl2djxF7J1VD1/c
IOSerKVTNOACfwFBTHBuy8qxFh3iAfvACl8q0wwvQ4t9ywrw+41rgXxsckHN1bhIk1DD02UoVsAT
QdRgfj5JM69AcL2mB1NHdnvg9oXlXbESypl6whwZuIXeAiCYtpPzHw8/mr0wLQNkiyhLV2yHrqJH
jEyGukw61Yn4cO4iozBSG6g+YDPUENLA++IX90YZr8jRSQyUB1mVZ+1NW0y2aQZrqHYNZNrseFFU
BeQmDMO+S7Kx3jlJl++Z5QzXEUKQ0IhL61cJuUdPi7Rfvqh3bml6b51XyCUNKty03oncAPNIwIer
hSmnQYXunumJYLNuhxiROw0KgWu7C9JhbUKhb1GoCgFXVSrQoZL1EkGr4GzZwgCuRm3twbURg/4K
pQcgZPzww64JzCVtVQNvjpDP4nOwXiZiC300yBsjnXMFZlhei0zUZ9OFQn1rFi7Ed8CjoifNcCgD
/UYtV5noDLwl+Y67qjxBDaVJqINpUbbRK8DvvLBhH7MEed6tTI5IamL4YbJmNjaaMjNBSDhfCrkl
fBogaHY0mxzSXZim7aUFqcLa90WypjuqVLeVnrAHXVTmiVpNGHRnVnPw/qGPDkGti7ULxMU6LYMP
GypXb2Gp+dO9iKpadq5G60r+dCuCPL5dR7Go1/NEImzvLMgWn2keBIdBvzF4KYJMoFSpFP+VkSW/
W5F6d04P8e42BGs92VvX8ZZGY5jHJmLyyUzjbTf4xmsuDChZs2bYkluGFHpuYGPfjL15+G/TjqZW
LVwBGi6atggFO1gEC2w0bu1QNRiuC2fsNsRCRs0UsfUvzVg1ibJMb+pwPfeGAkEJnf2O8Fp46qEp
dGgz/JXUtGNEy0vXRyGC6k0dxREZV8AlqqaeAnvYKpp+aiJlkJyzqsumZjQI/RxV2q9pJmQ8LmnE
vlMrah3n0nf6szeO41PH2u6qQUeM+mLDiu+aPLhQnwRy8a4ZLHAG4Ipg1KhvWGDtQhCsPCXaqAFT
NGyor+hN494FYSCN4w5vHoYuWVJfNUbJo1v8rvDL24oUWHcesv5BFCwDLVfeH11F7gTYsLVLTbuC
lg74oiYXVNPUluPcqJWy3AQGMDE21OwNWV5YFlyoRYMYFugLBAj6IzVpSs/nNy9LHwdFe5L3TXav
qagtq2J7iwVGD7mbuNpL1O5fyAVJmfgCDYr9PKArWn2LQgAgKNQkdOBF0k6TREXd7y1AlxdgmAiQ
yq7cRVoHQDNXtq0tTM2JIbLVBiubj+FdlZfhHaol810CeaOFTj61iTI7VvEL9dKBnIcDCyL3bnLK
GjxcGvwGpnmzAExJupNFu3nQfC2mLmOkoLANMuasUHAFDEkQ6ebRwZfzuRYoRAK0NrW/vP1lMuRr
7iEIXnX6NuV5v3NRLfQQxc7POB2LH0wPkDnwyqcCdGl/c8ga7ykYympywIu331UDNl1qhhybpXsP
PDKLxIWmPTOi6uzlmvVitpsxLJKXqpb1RSYRcNrKzJmItxmA4xsko6yXedBHE6v1FJGscSyP05tR
mgHukSQuUd4HeaQvBx4C8Bb3A1R+0dGodyudQebdu2DDk1gyWJElME2sc7Ky3IY5gxqeYweQdc3b
tdOa6VNbYCmYdFH3s0SsSjNt+3eLNFblDemr0yGokQOfjZ02x/YQy++DUTUotlPDQ4jdTMNHX2+e
kPLo12mO1X6jsBCuwke0jY3Xpccv1PJ0sCmMXdYujcEAvkP1cl989EYRyuVrpwRiSg39HB/4km30
AAymCSisEQtAIXyvalRyC7QquEEekLf3wRWFvUDvmfobF4/UH4LbbWVawXikgbka2FFxyygf6zwZ
Dp4qq6g7n10cdUbNyA1xn4b9yRihtQ0WDvAz1qU4kRt5jFpUbjsOstg9wEd86TtFjYznoE21AWGe
lovE0MWd0fvVBdgXDWhWpE5dUZX4fVZKnPSfEVaUBTcQAoLDPLd/eK3fHunlxJskuEAGbdvFeNMv
GzPqN2DSa1bzUk8NcEXeHckkQNO30X0LIGmER9vUlW9hXu1BvKP9MhzjBOHS8bUFs8DSQ73/FbxZ
2s7her9DeSlQm2qQ56BuMdXr/Sjj8jqGNltkA4vPuapKzRLAowUkgabWp91pHdauClEcmAUuxZlk
BrBQ6Ppo3AO7qs4O1JHj57Uucxs5fjOEkivXh3MNhrQX/rsSBn+JTBmBIxesaEEdWC8t+L82qSHk
hpzA2voxxnRr+8X4YUf5TtQsufHaih/MwgIwPtdBX9WkyUPels0JT5xX6hzjuDqDovrMpJufrCHL
V1DGhcCiagYcb8AFndIh1FI8wlTPIDP0eBDuVEI97pqMvfMOSFx+swevvuTAjy66PtC/xY3UVmVt
sj01M2QsoI4pnjJDbcGAs13EYIb5Fqa1BLZC9/de7KdHVJ26SyyHFjxr2+exiOKzrg0BCHQBA4CQ
bLfSSj86lKqp3Frlpkd1fEa8EppoUYNkGFBYK1DZxAdqfroZajaAxcCNRqCCsXlHZQcYtqrye+Ai
pq4i5qneCCCtuH+RAStPqIhzV58eSEmgBCAVYukqj7ADpTx5QJOo/B7VH3OQhwbFOXARgSMZDyT9
vkMybT3WqAGRZW3co5TeuM/bYNMgSnkljyJJLSAOArlAdAo8u17qjgs8bYY9OdsWCrPboQHmCkNp
RKPmRDiyWdulGItl5Wob2TuvJjS19hnomBadYoZxxrA6UhMiNdaTw9uPZiSHZJOgVHkl69bdVQyC
YbRXd/FX79pSJCvayFMvNWm3PjvbnQiPCOqkC8pqdXYHquCU9Zuk8TWAlAt+aG3LP+pAbU3ZsSwE
JZdEhpUGkJ1SZ80gk+0ADNA00zzgzzkRKYIq4SqLsewxcwDd4qLP7oIMbzQ5erc6ZDABQ3CUpv82
m/rUhSSCXYhl1OU8XXpx0a5Srcs2U7uKRsVZnlj7qW2EePnWJbvQFGXhZneD5NgfqsHA203z5yix
BUmdPOTJsYhEdsJq5+Mw+inAPn+247IC83pzJDuN6MLAAo2qTlQz1sVTYPOxDyEY7KGW0go1c0E2
R3Xg318uGUBR65kGhM4QRkcaFUi7OCkeRmdwHmULmMyQXDko5x7JYmnjHvQR/K5Vpt7S60Vace9I
HgwZiVXTQgmt0RoXKyqUSrY1OKRoaAwp2QOKsYIFNVESa1z+jyt5Vs3vEkBcGmThA547qJQe6+LY
qUMiLbT5EBfADI3Fkc6ou7S5BDmxJcHb+DkmInfqJ89qrMDn8+cp9WtNX68hpZVs7TzKVqQbvi9U
dViF38nKbHRx5gDgn508z1a5blpH6Za/2jDjJ0Pwj0OU2vxENtcHv55j50fqHJUHB1sD4mifLtQj
UUEHSmfwqhXabU5Tjb0XH/Whfm0/K8ttpBnIRGkqOmgdKCqVF7XIlQaOcTcNnDJa/8w1T//vucj+
ecV5LvOfK9LMJmPWEbXYeHziYVRnqLwlBK//2cR2x3xKOzxW5l4sJ742qRcJ8Tg3m7PtaOIszTbc
49V26MwUiB2yTac+ACr71DAOZKMDcyvUM6sDygxAUvoSd9hBgLer9YYnDfB7P9Veqq4u35nlv/j4
IbyDCno6AZ50OvlXlx5K7xlSGQfVzdTI/2OK/+8+kABDlRf4u9cOd5xTLV17QUQPRZzHmwY6tRM7
hOVB2aWqdOfS4U9+Nv3HZDStl78NCn2zmdgh/nOQTCvrJbLs5CQYii95ock7OnSJl0MrczlbRgTi
7txELcizWIm+6orNklXG1kiwR3WFMXwZmvOlFtZlOE3ZG+Dq0KUKSqgrqJjeXR3GxjYLQQRLNhsZ
ykXTeQzUoKxa92Ai3Ydemz8P2rhltQlQq7LrVhbMdhGVH3YPjG37Gvi6Z6fEHvLTPvv/217WqF+j
7NWU+FLZK1BeQpN5mJJlNWhrTzxoHuf8Wd6b9bZ3fLmc82cCKUxEYRN/MyfFuB295pEtj2Sa7PGy
DFFRRjm3UQuzU2xVj/OlOR4427qOh+U8TRP2X6emjsHIp6lpIh1UznfcNZejgQrB1h0RGMwBSbnk
lesutaYtUAcgw8vUgyfUsEddy1OhbOTXmCEUFIEg2dIM01ia4HMWAXYfFDSpST8PWJ5OM82mec46
ybZ433hH6gQO7D51cn7qUca/koWHFbdayEwrD7z4qsFGalaZfPBM78p8AFWXatJyxWERcm0izI5k
c30QHAAUfqXOyU3N6yIVvpltzPw9T6sN/tdpaVCgIZiVijbDPgrLIJq2B6M1ddKh+5w2bLFVGCqs
qmSnOfuqw8qO1jN+BBwENWk9Q03X7wUKkZCamJvUi1o23C/ZyY+w6+lRQbwN5fg96LAlijy9P4FQ
HGs8anvKSGd0SEIGidis2dLQECzreG2oIdSeZwhLEPxbfXP/h32a+ctFhjxIFp7PxAYhjn4vvejB
tHv9zYMQaxA6yY+Cp/2ykal/gQRwdwKNB8oJhzL4btRncnCgSrwsPXDK17Kqzgw6IivqcLcWNKbe
oexcr9xaJOcgjopLPAJ7gNRW8sM1H/vKGL9bKEpfQceWqWVzuEWKGLGHFsKdeOcOb4Vut4sks6I7
xlz7Qh3YAqC2QnVoKLGbOioN/MuhiToKWR88Ix5AW6QgULIV92QTnQOU3dAP9zUigxsr0sQ1zGPz
ajT6rVWL2hSpJGqJTos3GhjzoQiMgpbI88wDoip7KmqZC12oCXVn5wDy86mT/MlOhwGppYOTuLs/
7WpasENrh9Lodl/8P+tnslGLjyjImTr/GI7qXeSPdTF9vLnehtwAiWTHscq387QmMPXn1BfLWmvl
2XWR0JHA5F/7EK9rFJol920WAPZbQrFBNgFbGrZRvXhtgzI+0eRvvg8UgBDsR5CBPIm5/De32SrL
Cg/6ofdIBqXYpeTtsgqs8DdSZ4Bx59m7TH6iRq9+sjkf1jEejadaZ+XRQHZ1M/o2FpUgH1hEhd/9
sMxoqY158Rsc3M/cGeyXQJMI7iPyfnE1Xd9DFVXbetiT3VLm90vR6cbbYPd74Rr5b90bD3wI6jeA
NiHQBfZDj7eLWPTjg26ydBvadXaovTa72n4crYygF29A0m+HKst/6UP8jefp8NwLOWD3abBTYHD7
hDu7XHu9V754HOFA5Wp14z7x/PhYN4mzrKKUgwLbaY+Jb4wPXWs8gKfDeYNGM9ScQrs7QT+sugdN
2zvZ8ccgKtPX4sxAW3dr2hhA6sRfaQGK60CAGV20giXn2oix2bes/r1x1m6asB8A10AmSzmYrTts
UUMZr1MzY3cofmF3ZYgCLwQcKsTrneLOgPaav6gKfOIxv5IJNVwaMtMisOKF1MpdpHXpRijQB/7V
2s3082SBsLE4WOq9N3WEqBYYw/KOWrEblufCjM/zoLzEW3+IE5B4fk7EkDBe4WZKNxpBRLCg/piY
fLzYaBeF3/wgsrdR8XFWGR+OXbFgjqJ8m4jfpiP50OFLu5LReGyBdeWGf4CEzcJxweJR5tZlwiyM
kMZAcCDdEMYhYmZ7RoHGM3WSyY2Ns2n1H/4tEO5Ik0XOUWt8Z0l0FHbZfCsT27g3ETQ7/cXe1+yr
PTW7b07efvjXAAAtib0Cv5tvQZia9zJCNdUUyWJh337wuyIJcvJccIMSJoFK1QrwL3RNB+6J0L7D
F1M+9ZBk2nUo4d50g2V8G/HgjbgXv+MVBvqUNtNOA3fGK1SqfRBloCBZjUROt3ySamRbIjAUudU0
khycEEVgNNICouLKU4iOe/+MpGvqHiCKNNKJff1bC/AROWClh9qLaF1EjX0PhHi6wT8jOIksAd8w
xKt3VmtVyAvEFtTCuQ49agv0qpaZ/YB00WaovDFCTWK8BkeX8SO1UVkIxGz67Iy6WAWmMK+liLRt
P/bdwa274YQ8O8THvbK+r/GYR3lez16xjHgMM4B7F/H9yBswhlVepVRF7NdW09nyb59t5NZ/fLao
0r98tkTTILKrar+odCuWbbFsrbg7TMVZqglAf3egsq/W1O5RR9LuK5FlYoHIKijkKFznN169thIw
BkxGF2nbtS9jbYE0NsOutfM2EmJmy1iG+NbJ2JYJ3tGRcxqVipdUB8Z1b9NGEDv3Krm1pMcOGiAh
Z+FyeaYzOvC0BENZ6LqruaOuw/ek1cNF0XhyY6WRtfe9Kr73B1XSNoDqF8iTE0o8qxfyGGzLRH7T
ekL1j1hCjz06SDxKrDmt/yXGP52S0wgnSgF4aeJshIyx7Qcb3YDgruP5qEEJ83WtYMWt1XYLowMy
sAcs6NF1AJG2s/EbuYU6aE6dqkIErsdeI0m67tIptz5CLZ8a/jc3iTt/ywBFhIyVx5+aotiilBt5
Pdx5G9OJx22hmiKvlil0Q14yVuuHzHQhO66N+qvuyF9DGvh3SDTLK9i0UbGu/C0jcJct95C5UtMW
nG3Jf0i9j2lLxI13Y4HKdlBrg2F34wMztkR2MdnT1paalZ6m+2njq3pRsZF8aSKWmezTWkcmukZ1
qU/A1Shx+oVh9M46YIF+cgjtipdE725QnnH3cUWo0xyjDnGafDS7E4pMQC9RgKj6BIHO0NxEFYrK
S0+KDfXTQfOS76lbmVvJTI4aFhwSFvXnsq1LlPLnDhhkfFcuyJiU7YeP5XK+rNoW2V/lTR3ciyT4
L6G0kFVI3kJrnZ+5CAEmhL4USOUg0SgyoPmRuscpVl7dBoxv3cJHaFIuyNioHjrzgZTZl7V3ne2V
YYL6Y+rl1sqoADSUWBk4eI0fW7rRcAvF5y6zcc/Raew/VFaeQuEMcXM6IEeVC4R0/2l34Bdi4PUn
y5eR1B6zxIBm+ZLmmsdASAiheHUwC89a2zJ38wvowbqNDi7wS2WE1lnnT4aCe9GBzHQ2xsJauunA
1glWKh72IKF/GqNiSS4Z2YaANdDvie31PEOT6E/YncSg6fM5W2hQJTsE6kBnUeZ0DEwKLozYzwVr
snZjYwO+q7wcz4bSeTvsyIdMtlP+M5qmnNvkQ82yLBx7Ofe4hleuDBeCko1Awkiw5OOQIhrZoF4e
7Vz6NQiHol+TLacecncar9z0hfabIpBfgpRZkkDlJwZ5egc0+wl7x6/RzD+CmzTYd6InLdGegYK2
zqYGfkBhxQOU4of0XA85A/cS124oQjOXdRebiPHk0QKMkeynjLI1QIoM2I8EwjVOGP/iaf1eRm73
rRmQt9fcWL/HgscH92Sr4/9YZnu8tHqw4DSo5veytYuXK+4Hh+G7SMVwmk41i2sHo8GaimU1KolU
Dx1cAWTWAFo8id1gl5go2gMdxiuAlzeIdTYP/lgFJxQLNkuyaxzki2UT19cstMa7wJFYv6gBMbgC
kDEqnaON+uJHv4ScrtDZU1SOzUKCke9Eh0FoxUlXh9lGTS54u3Ryc1OOAIQL1p5bNyqfAqBg71s/
XOpmEwPXsmpclj85siufEHkFvLHi9+QYlfkFKCn/Sq0mbX5KVg/TJNCrA61qHuM+VHOWakOLB5HY
UzMfnXEFLJC9pWbnV0gPIsC9oeaQhC12Y42/stRFwRWa7JHdsJbUi0y8dqhL0FtQr+/2ybnrsEKl
Xl2azRUhgxt1YumaLCpn0HeFplkj2JazBgUZzaHD4gChpCILz/hthWc600T1DXzZYmcapTMuzDrs
EYAfwARvFNgYFlBmVmd0iKAKcAgTHObm3/zmYTSCXGjY3Px/n2q+5B9T/fEJ5mv84UcdXiv4vjce
whgiyxpUQsoFnc4HEH84q9Kq5AJCCflx7vASUNLXZfHPEGrP3b6acW7S2Z8XyDtkJA0PLIf/+zRx
/fnB6Cr0SSbjfFUyuk1tlwvXNm4jT7B3Ux9iHkLNyYVOaUhVpS9Q3qz3mpWUdx2kIR2kgk5MMXbS
oRocoEC0sFoOpvVhE3SWZhsNokbnQd0BwEbzdtPwDLUSn2NpRJkCLSc98zzbRx2122OOJxFdde4Y
QK8jXJFdmB9jZc7j3l1nVRIspyt+TowoFQq3weEt6No5Z9gl10a6mqaiwTF/zT0RX6epcm5U6zjR
6skl0IKLBRKiLRgm+MHlOj9MZ17ef5z9xUYu0re9HDc2xtGBfZ7NNldNM89KHbOtBkvoMrVxx4Pe
Lbiveg/cVDGY1KkZOllwz01IaIvMvMbKo4a82i7unH5JnbXtB/cl4i1FLfTzNEhwKAWiiAeRL0BE
GW/Z1besC2hS6p/V6Fw0V69+2ty7xB5OGCx+mLYnL8nBzRTo4d5r5BMB0gmGHiksOiIBk302kQfZ
i3q8osp8oQ/YEOROegcCPfuWJql3wQNpTS06aCPYnHOr+9kPUYZMXwdEXhXU7dJ3Q7AYeEV0bHJb
7edr97X7PMtS48NGZ31uu69xPOQLvSy816k32upG8JBxnt0cx8lu4L12T203HskEcYjs1gGIfw3x
LINqnoyW5Nb3txhkTHfkRYeuaXeZVYoztWSSZreGlS+lx8CkoWYmk2zBWeFqZrSfbX1pNUs/1bMt
uVBHzgsUXZQo4iEbzRnXkBONOjtbzVeNPG5tMwkG6nm+yMrNvWdI4LUMHx84LUf/aLvdjYbRnwRc
RA2Z0+rL7EYNGt50+gjzn5BhRynA/nWZTSxs7mTgxaf5k3EvTBYGaBJRk4ovjHxbtwkXmuZ6X/6q
2gwBIzVBV0UudAhGcIC0RmtMfxVN6vUBRPeKgi/ny+od83daDdz6/Jf2Ta8ddF98m784BEjB+8/z
/fzpJHOCaxm90lzT/zCQlYq6DtepOVb2AQwbQhXTiL1nQiRBKwv5PW27RzMvsscUko0HT9eB0FV2
6NlZWtldRqzDAf70200HKqO9X1T2EwfRHTnprmksO1dvzonlaCvNKYsFhwDfQy+NZ9EN7CxUy62C
cQOsCJiT68B4aFzZ3Pkgver8zHggU2+A2isqouRINtlH1a5ISn05DXDM6EEam5BzA0ycgOhhXd2n
e5ocnLjZAVERY0FNGhDgx6K5hryRqR8RSsxl32xpclSbFKfUYr+okz6ulhhHpHCj63T1zhJAmyXu
mibzvUxcdLu6kD8dgjT9XmaecaKWxPJwG3pmDzoR/EGjJqMbkCor6iRTCYnMhd2E8kDNbKysnZcg
WEcu9BEEKuP08YEMmgeNl6Ae9R19ANB66IeIS2wlsacSyYueWP1ttD1+V43iZyiC4Buk3Yc1FAGH
XSTRjLm2AukWMJppEJyqpoACHyqov4Gn0AYlbtEdqz4BdM28TeYeCny8rsEXghjN8mPHDQq13YTT
m7H5GVIfx55Viy9APSttISZuWPcaPnYVhS+Uv4509s5bXj5WSLLteAuJH0Rpg0flQKltrAHf7fZN
Q5DzPXUAgMyE/Tuz8muXD+YrT7sBeqAmu7lW0m/92pSHsHYzxCkyHayBtnzMBijjMgh0/lDDoVFq
/04w3CsQDMZPNNyEVo6fRq6jJEHVkSe+BmYLI0PxWR7LZ2hUgMsZ9tlNqOrzPPCQRkRAbXJzUXtP
bqiO+JhtUG7zbEn6IySiA0geD6D5RnmHtiiGn4UXA10amC+QHa4BSjSKXSu77Lnu7ZNXGfE76nny
ZQV49IV7pn4ujQGpNWtI3j9HihxiFDSydCPAti1LX2lpigRRxPJnOmORm01n4i+2v/lFuqHjuVnl
X/JsmmsNRzCD7b5k9aYcmzM8aM7o7im9NvV6yJKtHa1Gmclnjo6caZa8bndkl2m+YCMSu5eqr6qt
C/qBF7OoJj4rN/eNdWb5zR4oJIjz5uXEZ4W1NOxpBwJtM9Celb+POBmq1ABTcEhA3KyEuVbY+WXs
BuDBruPsv7TFMuWLMOHhMcggOwKoTFZeitFBwsUQK+pAnrC8JNAQtFbpKFfAUIXH2S0cnHgzRLm3
lDaqOQWAGkde9P1jLEy2BkuZ3EzNEURsttvgI5le/8iFMYLANT9RJx2EB8IwFHXdqEWzycz4mM02
xMdskaVFm56zDhEv38wWxJkF+aGT8I3mQq1Wz9tdGhTNkpp0QJAXxJxRe7HrAIBN5dGCQGxpKykR
sv1ljslDDfj3HH+7ilVD+7XqwT0ZD3b1oGXGkbgZQqiT7jLUWq2luimg0ZeoWLS41hDtfrDFeNQh
/rrGw9E7xm0ULzt/tE9tVlrPOujSJ9o6zsoDWCirVQTU3DdyC/PaPhl6tPXNskdRvftOd0zbQrii
Rszi1ul6d+yi3l/pUZa88+Jc1lbw1megXR27MTnoRc4e1EDqb7ISGjom4EJWkrn7LMc8bmu6PyME
fOK4E+/IloplbwfxXeYbBsRcR7CMWuUIEeXsw9eBIguHHCNbGUie9mDoBfeHra8knVnYqgrGfYQL
cDb1qjMr/u50EiruPsqE1AGkmDzatgD0bp3ORlKW40nUYRkBfn9v3AZ4ztxqD6l1xZc2/TPibli1
LoKu9L/M4z69QVlOaXDdOYHuvOXg2oWYongzR6kveZYKaOlFYte5vbbTkem8CpSEL5GXG19rKU/E
oR0wsHcmpXjT6xxykKi/0ERaPDKU3qN0G2dRU0E2FI/kRy3lH7a5l86YrrdrwRowA9l4UKJEozjQ
Rw7dPD+5dfN9+sTqT3ErkH2RRxHzHRQL0qegqE5lqQWPKQifDniiqLtQDG/Knut4W5hxbB9cD1Qp
/7aPSGQsSqOtd3j8yTMW/PI8Oq6APrRdbjOzSha1LiFCQD1enIyLrnbibSkG6Jpp0EHwAxXUUs3Z
5mX5sAO2rbn16tCCWB/ZC9ioSR2zrWy9dlOHZr8klBvh3bAHvnm2G+4J3zbbNS8dtzqww4ucaFpn
ZavAam7IrbVrxvH0iDTDvLLM0daJOovc4eOMbH/rBbAU9DnASm5T/HoOPlIHm3b0qqemYT8tRBl/
JnW7QSBOvBlFmK2Anxou3PcR2TPKdsNyz12abNQWoV8YJ58YEShQTG0HETmsc6IDmejgqSgynSFN
AS3XaoQQLcCrm9TjqFZWBXcE4iIbCACgf2O5ZwRyykugHr+Mm68mlOV2qe3gkVxpMtvbuoa3RJ1B
A71vIxtiOkb6M8Rd4Zuu870K4nRlOE5xCTLdP8Zj2a4lZxy13qgXh5rnT7stfg9l3z36cdJtw7As
9lHhQClNTUYeowXF9aR1viO0n65Cb2QrT/eHHSgECaNOh4Cxeh16jrmmpkDx3r374WBbztYtCsDF
h+5hZCFK+7Ok2COngQJDKDzcoAzyYau9sxamexa7679pVoQWXrWqc1SpeI/F+gqQRaE9ILqGb0Ek
UbWi2v8Mqasdcr0mXmFecwORYnOLEYyZbNSkDqDbu5211DwQIPR2bz6hDLw/2GaluKl9hA8bSEPM
TRcEivherXNqRUBI+26wzBTDOKRan922iR48p8tP/ZCFS2L0dv+x89LKT6Wl5JkQgV+DyzeHKGG1
wG1rvINvgwPzb+Z3HncHcL3gH5E7Sf+g+w0Ih9Sjdog/fPsYjMaWyeP72AB5NQ+RyMLecHyzdSjz
SD68QC7mw05ADHBkTnbyH1kariNtRI1B12U7WyTxBkkO5PX8Ec9F5MrBboOikCzPd0ZWdN/II+4S
e5tCnG+BxVaxnKjnO02X27+2iXge+TJUyTh+sDNdUMPFbgv1M/pKefO1Sb2I+Is9ff91Iv6j94+x
s3Ovpqp9jW/HaDyIAUlXSKHXR4kIwIY1hvXAAAmDzDEbf5bhtZIi/GWN9W/L8f0nnhvYWUYyPAEF
3kxjeFFpazb8D2nntSQpkq3rV2nr68NslCO27ZkLIFRqWVmVN1hWZRZaOvrpzwdZPSV6dvcxO23V
YQk4RAThuC9f6xcwlbbnTZ3N9pAqcUXuaY2B+jXgGdeX3F0MX1VfvnOmv/Oqa8QkTkWDuY8J83q0
ColB8dx/Y2J/b4cnA7H5UDyaqlTpp2OLNk1h7HMBuDjJmvoSEny5A/bUfGht7ctGbVSsLwxb2ev3
c9RkiQMlFJ96ix9zY62BMG723zddOTV77JHjfW5H0YWYoV6J6WlDv1fVgDVdHM5XjumMF3rPQiZp
Qu1FZu8NjOlenTSPakEDQoRHoiLCJC1s1hebDU2xbop1cztqDHA7t6OsFfXH7eh/OjezYioXRYmA
qlJeESYQV2JAqzeTc970KqHmun9sLQQD5u5T0zuV8bXPbOcOP9oAhduouI2jlcDQJxcodQvzSwmH
OEBWw7xWalz/ZsXOHqO8anc4SS2XUL7yM6vOrMNSV8aNkdbCH4QVfxr08q7IK/MrxH7wjW7/Gjd/
nG7HPfCNIdMR8meuQB/BJRXjFheiG0LQA9OH7fHf9utmaR3sun13H3JnvbiB231elhgjfTckKuq4
O4g+Rgx3wZDo+wGtNjH8UG5QsEGJqga1T3LFa0Qynm+b3Vx929yoh8wOPx6df97cjqYq9LD/9dxq
AaPTlEWAtO2FkHZ5ctcACzQijmxOU8SX2/b2sjYJq6U8pZmdXGgEn5ueQdqPb6Go4htrnMw7dcmu
NjEEoxyNA7DRdL+1movlDZZedENs+95q263PBq2mnFZr5Prva6Ff8d6qlLW17x1p7MhQAhCeWvUp
MdCG47kOb8tYosfN4H8JR4YaVDjEJF1G43IBKo45ojTuukp2fqWV08fUNV4G187e9Kbj9LUOJfKG
pZKavVouRqtTJFQM2SKe6UiijTLOlEkGLbkMNeUlV0LzPaAcMq24qNL4ZQvTtgWCA8vVc4whO9uC
NdekD0KGr3ebmtem69VPYX6ptEwVq/LXtr+beqgd635zdPzvTbf92HTmTAxu4yHYuxwgzRRPNvbi
pebEn4sQGrSNFttVmsfjlQOBGqhBF39OsQYQKtobup2Eh5/PzLRkuSkL46kksrlEgqm8JOotL1mB
pEcxKR8cI0nOjTTZR3rR3Od5OtxYmQ2gZcQZdCLn4rehqh63o8oguosocp7fj6qz9Sohf5wTHLFq
sUwFy0syZFvb7QXhur0YS+V620oa1wp+/+2//vU/X6b/jt6qG2CkUVX+VvbFTZWUnfzn75b6+2/1
++7T6z9/N13HcIQw0bAQLuojluVw/MvLHUVwWmv/J+7QG8ONSL83ZSXvOz3AgKB4TcswgpsWNaRu
XfNouKuqAkz6uy6boeH2vf1K6ZzyefllUIL3dWw0xtk5jJVDtkVYoxDDEaiZyK+sJS4OzqYrh12q
6cVzkxzeXQazpPtpGx7xVQwQ5nuYkWYiDajGFBiEoEy0vURZ+OO+rXFT5IFKHz/Dnhj07PoiymK6
NNaXKe3afcWghyLTH0fztv+ImH5xFINKxC4KqwWP5AzvTbZzt8bbBXBTUL2/vvWm/udbb1mmRc8S
ghq0Zf5865HHq5RR2tZ9NybzkSJwBGpKW3aFqTSf2oyiyRpOjAs86MYx25uthQXnCaq2CkzsP7dq
y1A5K2Lnh+uM6iqzYUw9ZsXKmRAy/pQnrR6kRjZe2lhinjc1OhkztakPC6LP3F7rdW2K/jQY77Wp
GuI0EuXzxfaYae183cepcWaaOmMulAb7b/qla/x6c0yVrC93xwQaYglL/HxzRidrHKDz5f17kG7V
Al5+ZX6gQlHd4ig73ELVf9yGw0SWyn4b8rbNtRVwrfJ2rvEq1mP3hRxwv7NEUaKaxsAUlxKzBiG6
j3rfXtprjMikeFemavUklBrLoHqk6VyZ59K+iZWqvQFov6dgL+6rVU2/QdsWuYMsPN/2IRmWHboa
/cft6HZCm0x7serykzXDtbZNTHh7RuGTnEpPi12i2h+WUB6nEM0MY8xaX4awCOPuHu96cf9LW1O7
kZZ+cnDu+CW03xzm9F64Z+vBzX5uGSLYSSNJD8Jf9UIzk7d2dIuHbn0hU1i3IkUAjI0isQZvgHp4
Vrh1+aD3WrtXtKXabUe3s8cxfz+7Qrz3+j3faNa6utPNLvtBXH7o7HVU1rr9dqDR1fhveoTp/tQj
hKo6Gv8Ejtk2NGTbWB+nH0YqRhZ9RkomuhdMUdjHqdPVqCGvvPEMk+aD5kr9ZQvCTGWYLiIRTldK
7BKiKS1WkGl2uVnAvrvEbuax7/aw25+tW9e1161ubwkgQLx3mhRzmaw5307aDmyb/+u+94tFahYe
pHRA2cyGkx/tcdHOVdPRzre/zCkzGq9MZtBWFIrUo+mkp++H/9TmfYfZ9oe/GXt+HvbXm4kAlGWq
luPqCNG51s83M4tbVcsLNbyzJzlTii1cT4O/cKMnigvou9B2Q+6WnypV7LZYd2vRtjEsvdEcUbhF
eJYyYu3APR7qo6TOsI6z7Tq6/vACyehy6DFvo8G2G48Pkk5aTDotWkq/zTTkXXW1uNXcLPG2ZMt2
QC2UbweoziRkCZB1V8y+9NO6RssmdPNbC5zLX98V1/5TFzNMWxW2piO5q5rGL3eFiMqMyi637lTs
ci+N1TADaZMMCJuNbtWmiRpZaRpM9W1iLXnwg/RyhaHBJpe87UM/D2Ksg5T8Jq0c2jM4uMnqAtmm
ClrchfQ3KGAlkOfACjk6FytiMI0Odl/bT99bSQt0mq1i3TiuqaE6TBHFSJTouG32677RgaEUz8af
9m3t6jXV9N54bbftm6VDqG0qn9pV3tuzo8W8ZxjGV0SPUpS6rOa0HUkaPLbCFhuu7egPrV1TSgxy
Tfci7vW1C8zPdKd6n+pyOZYCoMq6X60mizGCpCKqKaz4Eex3AOMLxxukO93rK4GkhohM6ZaV0rq1
HhtnHJTyjrQcFmFxVCI6P2rhCXPv+qrvEmTmly48dwr7Y1723d22q2LqCnJqGPttczug5VCoVO3l
r/uILv706Lj4bbga5gKuMFmFr8d/GIdmV2W6m43mLo61NetcPqWyTT6XI6DDcLLUGyo/CfA8AMDo
68WfaxQxqO+Hn2rKSnt8U1HJsK3k4ecz3XZQWcDMF26hJHBc0WKxxrQlJ4Vc7bbpJMsurvvlfoht
VEWicp+sxnp1pVSXyMQCNV03WWF0R8deVW7WzaJFfLRxxHTcNiEafbvktokV8i4BarZzDHr5xghK
Ql3uksXqfqBewxYnMmrbd+IQiarllJtQ3d6p16JASAInMO2deo3bXHUdGuIH6nUdTXLXj0X//hbb
+8wQc8B965n9Sdft/tbS3eg6G+C/TpB4Phm9jlO4qhYXIBTsBy1qTmFca59QFen2jKnhYWuWpuif
19S6xs4B7zSwgtj2W2b38v2yRrSQAV5P3y5b91VEKr6+kL25gBvFunFuhvgBzXUTfA7ZutaWp1lS
EYBWYPuoXySvhE+lVyxN+JgNix6EypRfl2BDj3016KftSqKjAvj9SqNaRHduPUFOxidrCCdfxzSO
5DTcZGd92faLtpt3Uhi9r1nLt33bga3dxFmGqhrv13CSAyZW8tqJyKCUZl88IwB/tjlDdml3LqbF
/QSI0fJTe47hT2CfanetdpwSEvaabhh8Aqd4dhJ5JsPyETJDdq0yHN7OLIzwvMDgWlTDA3WuCDu7
qHqoikViE1APh23TavL+JAeA49smJszGjZTqPu2N6pYMuxZUam7f6U2VX6uNfdDmyb7bdk1J2AWh
Hi57Y92nm43EueO9eTjm5ZVel6ctWYtpEOqGuXXaEkbxViFb93WTDTZ6UCGEEyw5SLd9UkrtNmkF
Sb1Knoywbb4OevZipIsD51WGPst086bRDHkwc6mAB1qQa4DFua+Tvrr7T9fJs9NU1M2BhMWwawYs
8cqkvqtXNgowSFySVyJKqVSYNsq85JFi3/YiMA7Y2loLo5STNNTkp/mjU1XBMlfzY5pB0HAaS6PW
woqd6NaEoFExka7ihiKvA4hF09nYdi0VuHEYs0uZVo0vNdW9RZ80PhhOneA4U80XmU52HkiifW/p
FAqsKnY+w6na5UVkfo1693zoqMhspwMHcG/NKE4OAJqW/V+PhMavsyVRg6kaKhODpWkaY8rPAyFp
qKbTJ2XAMF4jxTqGlJc2ygByUzdu3GtHpMLIiGz7Bryj4m54WDqrwfAGlXzLrrXbdCiJB8am+FLR
KwGXmU/fW4DhjyhUh8nRXiVWNp2VHpFV1j+Du9tEVfoI8aPtLywcMcb1IymL9zjCAH3s9+acXfVx
p99sB1QqIDd/fRu0X+PS9TYIlbhh/c+ythX2D/OBPU3gvB21v/qGabfdlUnKI6/ifIyIF2kAQ1/Q
y/z+0OeREZiT0fw6GGxn1Dkg/+3pj2v07KiUpf5ff2RT+yXOsTVHcxx+OYfBw/zTyhOmqYbRYJJe
vQf0S2i3KKFHyTM54XxNyqO2kx0aN1QPf+ze5vhWA0r1590Ruo3vu1WjT56x2vjeWqadHYikKdFo
2m1pzsJ2k0ddoOVS5bs5lggHU/IIykyL75So+fYXRghmMPbQPMpIM4N5/et7uxKLvL9Zjm/rh++Z
EMGczjLYZGFhWK6psv1zdx7nZUraRWTHOYTqJXwDU5ZhwWrbJtAkgWTfjcuIoe5KOBn77AbQW/vh
e4tQMRfqQ/rkjVGIa6MOlSGZJqycYgSmc+YcWKBVfC/Uojkb16Pb5vYSUQierSm6iE0Vr6p/n1+O
IoMnrGmf1fH8r/uAvmYXfv66PLyOjUqIqds2nKyfvy5Ui2KmkhUd3zlcRu2/Z2TI7buXelRSuERD
pV1fsiWS6ICzf5hLOG0IVHuZhYpj1A8I86k2aetINw4zWs4x6wWouz9sfz++ccKc9r03/9dPOSy5
5bS+VPXcJlHc/bL5r8NbdfVSvMn/Wc/6d6ufz/kX0xX//rLJZfKlZcL/2v3a6qfr8u7fPl3w0r38
tLEriUDn2/6tne/eZJ93f+Ti1pb/rwd/e9uuApPx7Z+/v7wWSQlqnRzBl+73b4fW3J3mOiax57+z
fes7fDu83ot//n75kpRv/+GMtxfZ/fN3bEP+4RrkVyxDF5ZjkMf7/bfxbTtka/9QHRbbjmZbuuUK
gwEEFcsuJmNo/4OY19Yd21V1x9BVEjfQ5rZDxj8IFmxB4kZzVQTw7N//+PbfMpHvP9t/zkxq6/Tx
Uwe1bdcA3brmKNFD/rWDdnaqKt2kLMee5BwiEOj0ejqqx7gRftHO2uf+AaeVAHcqcSLH/cON+vZh
fkyLar+MkCjCOhq8LTA+Lt9GaL88HVUpqsZSXXTYp8lT8SHuzvPxqqj2VndQsbPDZNt6wx38//Nt
f8l69WYo0O7mbduPfYNh0XWvHHY9uCuKsZI14t4q/uYt11Ht57v88xf90yQO69YZeEe8AvvlVrO9
BPnJ0JuToEs//PXXM23jT28HiAUINjYBKuVg+E8/jzoyV2owa017ZMgLz2IwrLZpXE+di/5B6TSX
CcaKO6MiwUPZo0NMKksv3WLMvNgWhVfpuMwW5bJLFUSK6bmuj+ar4Y9NXflLW4D0dIzeM3BO2C+2
+hTag+YBcVf3MzCqPjVfh4blJj88agvAA8soo+xlFN0hK7nDGZKUcQp5Xmn0oEjHS9PSUi9ZJLZk
kyzh+jv7gf8CqRLLVECvKv2ujyrTX9TJm6Y52jGBTB4GhMhdJfFZWLUBWjZPmSszGP1guJ168JXZ
vp/sPLy/7BOmC0Ajx3FEXjS0qUNH6BtDlNaOVvsi54meZ7zE85LjbzU/CryswPp0vonroLQQziC6
vbTHyteFOEPr6DTqcM4r94pQO/Pc0ngTBfy4unk29OGRlXUgpYRuOT7N+mgD9+bOLqlmQ10JgwxG
Tz8qrIEk2GaM53e4yfXwaaADIo+2DGbjOf34OEkkmeu6fUZKjB9GR2UJpeMZeXi/qHD9sSYHlbLq
2GRftFJ/MxTOGw1+CT1LwChzKRKmNemRwtfK5bbSqkON/sauBfO747aBRZ4/lsoZCZ5i13W46fW1
j8m6RuIM/+26SnamWT3bUeWnSbaz+/ktW6bH2DICEU1+AlZ+pjiP93B9GEpW5Zm9vBlG8RiBrS/k
Sy+bPJgdB8JjioV3rwA2QqMVP4HnkEWeYlt7vXTMvWENj6Iu3lT48rA482C9TmFMj/gmX8/VjdUg
LZBJU/Pkgr6gcAKno9xtxUiIMlzV7RQspUKTCg9yHZVpNC58u8jHoFcgaGIRBtAOPnxQSO6aU+tw
XtWvUuc7nianyryiMt8UDPcOGhKiZqFmXqbchDpa9zBUv8qMb4AsPPUTpbvIDE31CwPGqZ63H1MD
4mFayVe3QpNJiW0cOrLsDCoRwJTFeFPzBExQRJ/TwdGsem6aVtXgAfgg+EeG/lIikaYOEQCJVL8E
m3psrCbz44bPbMvy1tXaO3Ohm6AaS1nPjciyuri4qVXu5Up86nJ1V+pozI4N/afJOuBu+cr4UzG1
VC0srpuWLsMJKMJsP7TrMOg04YsDi5VrRX7VMcaH3AykCw/4eqi8exdo8Yieq34L5/S9+4LX7Dw0
eL5oqTUEFAVuoxnVhiGSYK9M5y5rw9wnDKv9UGGZUi0ZyWMMjD3bytB9mx6nuXzIsIzDzyDyjbx7
1horwp1x2FVoUPumDawWKYPZG3SVN7BrvxT9W66UvTfHSGL2xZ7H99zW7fTUq2AmasPaDVl7k6C5
cJC9xCine1TIkADo5fZtPU/NMrwqh9KDKvAMJI+ekDTFIQVikiDsvRPrE4f2CB3moDbx3h1UNA5m
ntnG1NPjsCqC6fUui1AQxCKepzPDa7RV1LdC6+71Mb1C2NhfVvF0bX3ZCgqyZ4w323bvWuPjYHOP
pWgRRCnbwHb723a2Ig9AN6W6aMUAINMzfAgHXP16gfRR0RU41zWT6TN++lqUL0HY4xJJd3IqZQiI
eCc03zASrJPH3PjQNrqJqmSdraW1W1Epe2i7hyHOBEZm84euRsE3VHnEsY3cLyVD/jYcZao/Syg4
c9Fd9qLPvB6WHgQRvhRlXaD/dOzIfOuQbMPKnV8kdxj80dQo9fDOqbkVAGofzUV/gzfLWOy6x8Ww
7iBeHyw+WDexs8SjOTGT23YYD8izPCo6qqptMieeiyD+ev6EirGwqyco/I/NMD+2LhJ4SnitomPt
q8lk+1E6PfYFtBE7ue+XZsegmnnlaL7p1Vp+Htcxpi2eEdR4bECiRMipu63xVqUzix96I2PZSZ2M
29HMbzUS4IXbfHUXG0dYCqwg1Tzd5BddJm6XVLK9OVS9B4VgBvZXRD4Z5YOpkPJa5GWvcisKEhd+
n17ImNs6rYP7hFhzba8+4ZiReiIjVRaN2FIlzD8+EoKXba4wa7pkBPVWf0tshbEzTR7y7nroD83S
fZiz4zQwfiqQnbzISSXpsPkk3fZ5vSVzwxSDpA6yFTxNBXhFAF3L9gU1JQeJ0cdnW4cXdffcyBQN
X7s+uMtO8p7+rDGPJhgI2LL7xIwc+ehw7NqUH9wN53CnygJIo7xkan+OjehjSwbFS2zzYNlLdjEz
jfe23GkuBXt3ivOg040dUMbPi2ZBkV9HNYHQkkf2XvGQ5Wq8HOymlyDgHaJIWY1jduuMLVDMWkq/
I6/uj7a8hec8+JXbajuntQ5aLC5a5LjQEGih3o4FvCMeCn0ab8wqRm9ZUmcWrF9bBr115iOVemmk
3a2pVP0OdMc9c/Q5P2EYpEN11maIwTjjYz3ZBdBICKhZitN7N7lfu6g8FC0zQFyodaCVqicdvkIX
J1UQi3qnLOh4KDyxZ05SFr7VzY/whPzUSqjEabiZ13WhgyJHBCaZw/0sz9vxAZb2TrWz605vowDH
wSVwJudju2J8e91FUEbAIbWHXaENuWez8PK7SOY7VXApJtVXKZZdXZg3aaprTIATnN/pourK3JvD
7ljrA2nXWAkQpD3kA2FNmPbnY9r156nV0EvFfigL/WLBFwDdRyVDCsEEcCE+WZScMQEZeatJfx61
8UxW2IfEtfSrdoHzaaF9Pkbu9dJOcMFihTHWfJnCbvCyPAKrOZLcy3N8FB2DLxWXDrczt4p96mYP
wwLiWreW0AeH91mpsp4ZeWGuwCDdg5+iMmhTz27MGqOKAs+LJTLPpM4nGsYOFYPS8F1lXC1Db3sr
/Gyi9+NnnfKsdMDiY2XmbszDMUGyLIIlNxWj4zHw3SmDc2rd1fZdF54ja+GVyrS3UwI4vkodFO04
o1m7QLTCf0JfmmtjtMpzuWQfIoXBZ5h0ZYdD3q42/QlAwpEKRLG3tDqoy6TxJ5u0oCXDyWu0AkLY
IpLj4IxfQNyWZymKJAgSUrITjj+TY3O63gTDqgTMDhWdSHU8/j+bDeb01hyV3SJfGe3Gc2utkxqL
tqOqn+OG2T+kWl/5iQhfgLVPgJXXD5E0sT/M4mjO16tdiTslz1rhJgHq9hHYy3zV2IiJDSrkl43E
1f0Ke7ZUUZ+UKOz8pKuPljGpx6UGKOqqdbk6luI+3LWHikUovo7mw2wkd0ZsF4HdDdFZCx4saDtN
2xluCOq9IvypB6M9TJNzZeYGcaBx1jL3pk1YnZI0rnfCPk2V/Tl0TBHkSqEf6jbQlul1sHmowBGs
Ar75iQGYoKALu70D7QxN3Vo9dnp1V+bZChuSXySP5q6qX5OCDhEP8ReTFK83L/bspbkKsy1cApeI
NwBYF+6mOsjE9LqocEcmqPEEWtWqwJ3xtDDkNvgnE+Dx4bcexUCBxlLC8xIiP2GlgTvtSbwNPtjQ
PIJ7PyKYrvdl6ZOxKcncD8a6kgBVqs1Y2kXYokxKeJOL1yjnx5Z4gO1EWV6KDPtcaGSJLycyUJVI
drMTNmi2IJzTDTnKsgkrkLTwTNdSdq6gGMLilsjGyUIvhPPhLQ3YFzuSzPSaBISlq4+JoXh9BPc/
Z/Xluznp/GwUL0UxBARbp8VphxsECRgGROHj3XcImcL3CPoTXY3d16llIh4ntLKmefA1vTS8ujGJ
hYv2gPAAvrZ1xIw+Lz7dOEW7tS5Z+oh9qeofhK432FXkTtBGTuJroJUx5fSNWONehcuAt2N2V6sI
SKRD+JBVfXxwNRQM2p6wRUcGZD+kjEcQmF0oOoFTDGlQoZhhJtlnDI5K5rbTBr7tc1D0k4kSVyVe
exasvt3k7gEtlA6lYCZ9034tIv1raS7ZWSsIbbFNAuGv87tSJ3IPE5VSS8jMlwik+GrWP+XWcGev
FT+tsrkvYXyKHIxmcz3sbtt4DgZbG3exnV4pUf9VtFO4EzUJ62pOHw0V6UtFhyZJjHolynyv55b0
E8eo9po+NOeS0AKFMUVtOhabWbojprSwZZOan0q8NheDLg1sOmClsLfmRB4iGzm4dhqwOHY+dpkm
gtZU7pOaCkw9WKwmCnnIjcXyRhtDRXDSWElIj5QfQexcy0OYHl3k0C8NEd6Hl3kpBHpqVYsTcxYD
FDtLU8Q21Er4IZLCQ5RixFLZ8KWWrjyx9dleuni1AN2P7mDuItjPQTynjDbDwTCfXGfsXqbcvbeM
uTsRWVVePqGgzl2zghQ6nE+PI2mKbuMw8Vy7o3s9LhErclIGcT/OPrjx0ofN5ew7VcdZD/iqM31G
MAX/BU33+xyo3+iOp7Il2s6t8VDU02fwcEjYxDxnmlTx1QxL1u6oSwXcXbp7N+4qiEXB6kJz6saC
FZ3ZIv5uTaziZHcxgbLcAY8fj1ZvBUsxOGgQId3LapPu6UKinqJ2P9oC1adx7Wk5VB1NqAej0Xe8
936MWTG2oFVYFEOeX1hjqIlinPXTcFoUYv24ceY9P1VcRQEZiCPQM+FbNrkHSb6hzHbKQAVKSW2/
K9Xl6DrZeTXWl12OlKyLjpoeEvMldRbEgKgDNUbRalIDqzQ+ldDsWw3A5VDkn20lfh7TXUZKVF0A
6mM0WYvmpTIV1gWTdpZp5lmjhhe9XuwWZzooQ2OTIylu1aV5y+b5ZDIF+24LKzNO0VCNK/ov+cKj
JctP6gz+qCq1E+YHt1WivNRRgWW3zuKrUCHTzqZfDvABwc5bKGO4q2WkDK61yprpse2rOmaop9U5
uYJSQ7QoafY40jUBniiuj/d7L1jJIteFI2aVfYZSID21pPAAS2zxeZv70iRzmC3zMQx3g+OYgdUb
2gUKVedtiTK/+KAgQXVYLIh2oYY6tkMKLJnpnyHlcOTqxE5p/AqX3r1Z92/4xd0NRXxvl+GHEqNP
38obluwx3jJRzqBqKxjsCRyYYrM9JaJ6qjuhB3lpVfvQ2enkowAmAxoDSAvmxVnO8Xzx84hPwN29
mFrjFl9YACdwcVq1Sg9pjaxDbkwnEzGpIreco4mDrIssybGKUngeZFJSfjaiWuOmVnI+ZYSHgDkV
Xjvj8WeyQgnsrNgXefOoluRPpjgFnZAu6JJSWInq4saSJiMz2aTdXLO862DZBT2BvYcxgHsIQfNb
zXDTGRPYNPyf/V61PlgESXutVPyi7VvfNoEOGo56Sm4UrDqRzesmr0j7r1ZsNUF6sMuKBB1ygr4u
I2Iku3eCfIGphsLRgcXR4KuNFp7l4YQmbxhABy+PVlXZPtlnxIMSd7+u7zLRtJTVn1BmzlAiijGp
Y3hLU+cQQtXyzZhv0AANgQDC6JLHF3lK+IM5CZUJ/S4f5Ue77NQAm6jUH4r5KrPxcRyo1BCsWAhN
Zss+FmbQUxLzRynnYE4YwuIw8bPSlPDoMg+u1wAIY5pYtQFdykgJHudixm1cq6ajgsgAtpzjvspr
4wntuYu+Gcf9orQlKurYcVTZhODhguK+WiunQaR3dqQUp0oXt0ZjGOclQVC4DvUZVCo1rPbKhAkV
ekNErHao+XIm82tEiC41SiSOhjrJYF6Mz7FsH0ZZX2NTbAcUwLHmmOfzXBvbPSUfk8fZvRwLMDz9
mJ8GXb/OG8R4JuALZtSMh7pgdi1m1W8BgCOChLVqxMJ+naut3gV1wzItjVk1uTBDfFCjhLqh7ZJO
A9w3Ls1TtRSHojeJNWNG9mlhCa+1/eBTcyKSo9LqGlVQjNLwC5gW+1rPL9qcTOa0zFiGjU8h+gme
pasOvPr4rHYVgmXbaE9Iqq7jYvo4rB/e1cgUW5Ksa1tFhzEcOn/Qi3zXmqRaG/EEut7Y6RO0Iat9
rQvlU57Rz2Q25WdLxqyQIy81rjdQF+1Jk4QVWuXsaxecdTZTY3QT91DaaesPjL1aHIq9LN0PjqAw
KUzuaYlrwk442R6JR0xhzbN8bs9Bk97GWD3spMuMOWIz4HcZGvn8ENis70fL5vHJJk+bs5IFpTQ8
cKyWH6cYvQ+9DMy1f3W9kRxA/83Y6TX5Dvumi1xR8MaTX6zQJF0n9A9uRP42L2HbJHGQtRFLo0/4
VY4XUcCKezpMUDCB6yElPpJ8LJeUZwXl0NKyBj+LU+DjqytK2HerFAR9ns49nZPxfRV9Q1Iw55O1
inmZG8r1gC+vBUuzLLXCXyY9uzFr5XOZBUkEoF1X6xe3xRx6jNr8yFSknUXPlvJVRw3qYOcMwJGc
Oy+uYvcg0ggzwoGigo1zYqIf8nmOL7W2OFaSPsdXIcrqx9vEKCGgsIBw8V/wGzd7LSfG9xV8eSgf
q2XCE6IO/UGga9jYTeU3ExFbhqDN1AuQMcAAfGlDKXFj0nOC/uco1pWw0VgDa6U82CVE3cQYhd+p
cbzDloSZsS1Kr7XIBLnVOgAh77aUprddWe2cB+lAMpsabi8aj+M4BZk7F7fJ/LJIN8Upqb60FExw
Y81lNMk/g5csfBcQgyIXzStA4nq6vSYBF3Lj1dhcj7pTExJbnV+M1ePYYYUUtZQDQo1ZQuvX2Fq3
9q1mXY8KCehOPeVu5RdD8aC8ijA8XxBY9Isc+8s5FrcNELeuNkBTKuZeDJCW6vrUm81LI05zm0Xk
SFmSSxF+Bry4DxE3JrhCnRBlQ1f0hAVIoUWW82RMxrmVY4Zj455XdtoFuhUAHCVeaDzvI98Cua6X
rEVDJnUZTsmN9p7cVe3w6qKrikcNsP4s9vFdInBP5byr7ibrwoA5Sop/AqAiCkJEmzmva8N9bcmL
qA4r3+m1B6VWGeFlFKAFwY3Egk8V8W1UxifRVhqZgbgiljaewiz1zKZ5cXRcSCbk0YhQX2o99Wao
emnkXFAnuJVglnWg6jUkRm/R25cpmyll19XRSvhq+A++kBh8wkThAX3mhzHL90k3XirUHL3McHMv
qtP6/xJ2HsuNo9uWfpWOniMC3kxBGBI0IiVSboKQUhK893j6/pi3u+85eepWDUqhSqMkid/svfYy
2A4VH5gMPKlC+aZCNCSYuN1b3UCguSZQa1m1qwv1IzowklG5LLMVrewC3Rkc6xUTTUzqE+tQsBbs
Sql+KYIo8b45z1qFL8tzIUnvzWLysaiyy1STLjFTATwrTvKhWDdNk+O2TUrV73uHEXjQIv4nZmgr
EqXjq03a0cdMKNfn+DhaoSvR1ubMh5wCXdpGUx9hQFpPSohSDpogfSLOG2EjQq00CXCvqbnR3fp6
2uob6EGJ0+4WtuTGCsPRF0VM4CYIlZs6TadLNTZbw5jf5TR0aLQfkDYLLs6mKpEp85lGkqQ2bVuG
BViTrB+zrlqPS2e8oIN+FXE7c+SC0imOq8lVyxMa95E7moivMaVzF6OBorPOuVK5ZmJ9SO3fTV4e
gSKosPR6XHZjIflE/zCfOo1jPyGg0S6ilNdA77cuTYcvETJDko+epFExL1oGordEMwZT+lLvZJmk
QT3srctU+GLxPY3WJxmjZ0Fmm2sWAYkjp0Xf0u2YVwEDcC8m9MfOrYVRcoQLL4XRCjKdmxtEsUwT
0wVM+d7YEsymhW2BVZ55yhVJsfFxM/OeR4i4y5kJIjYznW4fv5GNIRnXUYoe22YAQB1Rki518Ltg
aQhbtqVpzPeacOnKtHWExjjPaVkdJiYOF2R7oyI+F5OUeF1LeKs2Jy/p0ERYJ+adR6SpJ1RivK+Y
1dliq9+0ZlKJVjoDCyR+G+rhHt+VTGXE1DS1vG2L7HE0RlyJzGFX9Xnrr12U+qrkp+YqHPFEQBUw
f3VCw2wI0H9PsdfuNSXeCHNhOdhWwWulmx/mlduEOJA7dZtLPsSc4/6ZmUZlAQC211a7wV2Ndoqq
RVvhpWmdReqBClozCGvwq+Zep/6+C1HRjoC0jzAAuA1m/RRpXNnmkJ0UAQC4AFR1cw0LfDPE3afE
Sro2rpqqoHSeYwRoluXhwcdsdGaMKPLwfh/0MBZKu8PpudcI2Wni5PP30hXSDS2+mGuijc8hFWgM
7DcJP7mkUggp1kEszLMolT2JZ+MpWSOPBPWecWA42Ho9vqszplmjCKBw3+f0Kz+4v19MOf1sEwlc
ual/BoxJzJAfa3UxAdCIJJ1wif3fqwEe/dW6v8bqXm412Qo1EOiiqe4VEThik0ISrMqKmdgCENpj
l4DBtQ1xA94mukWr5jaL05oEHpKAsInVN5hfy4GcWh8W0jBEOqpb54jK04wKIDUKbL+k4X4QpaUT
quAd+RheBvVJAVgMjGoFoMtdjp/exV8MH8GWVk00XWvlVl67gdF3O9GyCz/pOC2BtCSDU5aroxsG
e1ApVuoTXiQsRKCuSdj25DFbDe0TvReVoyi45iz+JFItuVZsGcFoBFKvf61dbAVKF4k2rADFiY1+
Pv3+buhGyWGhSgz058SzQrw1B7PEE5ZSIBG5IvDbQH2uqLI9UR1vasUkq36pb1qfZTsp2xrzRYZ9
Zad9gTlq3NUoaZYqWExO60h6kROMWKSW+LlRYCejqrJluGAPtahEu2rCTQCswYnTiK6H+5FQn/kM
7dsAsCiSh17Mv3OVW2bW2wFIwSSZVc5fmxQJpmj5Sq6+VVk8X1ZtoZVMzjHIjBet6VcpGoxJZZOp
jQTdbwjftVEwGPdjel4X78sUDUDZBOukxrHEvXodLFvQ+/RkWWJuN+tYUCg1LwTCgEbRTOHHlXSd
E0vp68IrZ08O6V5r6e3w2XSSjKaVS/tQaSALcqP07tDUiW9U+q+JAbwm5+zZOqk2mhl55ZTmb5hQ
n6f7hbZqD0rdilx4KRbUSjq6jMFKW0qWn6Ef9+ndvRJexHmkj8AQuXvDsMAH+v8K6+Qo9OWdek9A
khzjwlJYzDWSaKU7xHEp6gXhnTAMQ+kdOqBr1YyDPRvdt8Vc3hGwmVPBe7FqIvhWAWpR05ECmdGq
o6aJ7vWG9i4n8hqIWbXyomj3S6BzCT11XcYMkQocq5s6O0HaJSBBRiahZZ1XKQywpHD8EKayvM4D
UCxGPD641q1c6mo3JfJGpmLdzEqGbNVi/pkoYhB2hIYDjJ0MYty3GroXn+rmjoLP40GtVUy+J7es
1ZAY1c6tR1Uj3zq+SjhsOVx8JmXgou5C/iOm7MR0PAh1vLwnI7WCqDSPiwSLqC6kj7xH0T7n+T0F
FFuInMXrhVmEoMbALawQGH6qZXZQsuVHZiDiwLJbAxlsyVez8rWMGXZa8gw4xJTfi2dvDPVpLzfW
rouq0MehmOpIlv05xaVRXCHFpnqVM7ElajIVBhG2SZKyaO7cCcnVVHTBFnT8p5r0C0fXuEIpbMii
YtZnGmvziBVvPDS6P1TWeZIBOvV1pgk3ycgVlMzr0/EhQyYT1GtBphamSOUaAqbQD0WNZnqEsj/U
RiTRdlhxF/z+UnGLB4pUxrIL0+D/fyuLLDCpU3sRfFjVPcjup//6q8wP+a3ff7bp21V5/f0TEvGa
hrKdQ1ags0jKoFfHxG55juDx/Ni06BMMw8ObGNXabi2P1zIx8V+dFMISykjx6WyKTTjKFgyUFaY1
O2Cj1NKCPW1tbSULuUYZIdqLHqy4FT4e9ZWs566zyKI27gnz8mfZG9/ZZcEjZZf0eeHVC2YJ3bTP
Yms98x4S8jUG1rXmGpg82bU4Wg+iDCfYMiN3ieTkUiZMj/MhxuZ3+EarixsibGOIbRnzff69J4kL
fTWFp3CylSy3DsKk7kqtrzy0UG9ZnPUgCdNbilMEcsLxKOrx6E+mWsAOSGLqGuUYtWrvLTnPUEnW
21xPg8dcv9zA1s32RTH7VsInQrY0zUuhjcemSksYLfO2ruj1ZEqmArP7xFL2bRKiBE6yx6KoEAtm
WPLLEDPubrMkX1BBKjNPsBhe+io86Fn9hLEEY1q5P+tt1tvYh8I56do9mFQJ32wc3T4ftUCQCYHG
I03dKfD+Npo43zusigPhHvVW/QAtUqRr+YtVISBKDG/S4Nhi+tNGA0hpgydPuheL+05XoedZypw8
lkp1GifDsGOQQ1eKOitgio+RBtPlSa4wFrRofabISYuCkTvUKlNfuIUtqGDEwZoeVOHuNKxUUFHX
nxRRJj9otdo7jGb5HWM10AdtuMHSSWm8Fy9O5HoHAJg8xKJFyjZKKrMLKmH5Xkoze4FQYZulFIxx
NO/KDu5HEjNtbspl3iwaWF459qOrW/LgZSWLHbaW3eRFQ+ZczOirziIXT07ZHu4BIlldf5FYbnh1
bD7W9QQyUTPFbRZG0+mdhjTGWrpXZ83Li1aHjawXcEynHzmdNkNV5PR40cZYq59U0Z61afk14NBK
e6geNCzZmb05AEOAkZLS3JGlF2h5sRsN5ZVFrJ3URQqpoPN228dox/SzKSTDZUhE2u4IwBIXE0cR
MbvpKlxEdWkydmVBVJNRQI1nuhW08FHZKqNxDC0VPyojBzSjId+2fWHuU+CiHcRwKxhxQNo1ShcH
k8bbYPljsWPpyr4Sq44exJIP+hCu/pzJGMuEtellyqidqpAJexofu0YNCT6EwYI7nng2pLB0y4bg
BJIcDBguWDjjdBA9SuCQjiZp4yMI7OBMgiY8KpPpjALlvBkV81OvMlpvhT65NioxP0LbiFfsUhbC
NYziBmWn3TRGRQEc6ww5GZTvpJCGijTaZKPj6/k80cZsijRrn622ZYVrSf0cERa6mcWhfO4bhkg1
qaHP8PYzkALmwmKLkw7wZfrc3X8oQQfxM1gopDkpi57DhflST5F6m0tIBDnm/zcOJgD5rjZu0Kuq
jTQiGsevHzugSgbhhh5ltjASf/9vGq/ySQsr0Z2T1yHXdbvGyG8TWgKjxQYvjVTTdgnOM6cwUscT
oXvTaSpr5TDEzDHvv943U+/WVjEypzI0HLD6fZsaW2nQzec+M2/9BC+yhPo+E405ZPfxgoDKrDCj
t3TttU2OiGijRjjy67Mq8Smls0eKZut2Ax4i5siDEOZKcuC6/WJeuZCT2RLSOeqqi702sJUoLUeZ
ugRgJFPcrC8+hGU9iKJUnVM9nTArOU2TUvk5Dk/nlVcspHgnR2lgpU3+WGgcx0yAC7BXi/NsLOFF
8fpDMpv32SSHXERMBDECBrsrtTthR8ATI24BwAW3TWL8p3pjPGrqyPRkIg4J0o7ilO3w2EfpnlCD
1W8w+YcYlJ3bJNkO7ZQG853zFa4c8uPIPHlWctxByC/qV2wmDd0F2Keyo5ziEujfS7FatwzZOrdY
2i88gQHcspN8P7WjnCA5vRhaZ8CIREDUzWz03tcyJcGQGYaWcq/W8OU6NC1XA2Idpn44uEQQsSCC
1RAEZFCeWMEECW86W6k6CvYcS5veMNeDoun6MaXYpGmyPFNZhr2kTqpdAgE/GFV6YPK171pUgGpo
Vl5tJvKOA2Hesvw0XtgDGuwGEuvqTWMCeG4sEX+3gwpirFRpeaxtB12npydQVVyoQ+J1pHNAKEXp
d+t0qTlHyyzbCqAYx/bqK1WzBLRCcpQ8r+u4PkbACAj64baUChldXTzFG6VF8mOJVgAlblNWaB/D
OOcoiVr8bokcXGYwAd4kAsa4X8/GKskgdUdTlLJTZ+reMhGQlCcjdZ5hmIE66ok9JHFBtOzij5Fw
78vkB6aCEFUV5UVI6+8lb28xRGZW1vKgE58Cf0NSjsLKiRt3mNN1nFrbPELZOldgtUObHsSwAxRI
F8Oe8SyEaDEbHMeWqBcBd3+IE0NcErAwvlQz85EFa5JNMhAkpM7qtFdDWg+ZnAl1qJzunuI91HIR
CPEocuoPhxl62c5cRmxGzao5UJmdojUcvYH1xmgd1b4YV1faOgm2kb5vZwt/2Fltwe7HzsfGwGUc
O3h0JjkxDARbTgtMPFx+BdGC9g5k7C9DQ8JrwdXQSuqWO/RVlmmDYsW8gz/b1mhPliyIGBDgUVM2
Zu6HmdK4Vgi5qtejYDALLs8aqzuFDnikIHCwqgVDLTFFXueZWWwoHqhsFhbjeDAMNJ9zjtFUpz/8
bhz5JO220AU/btatgfINuAAGwaj5cFL1i6C35CgMGuntvB8vl42jZkDHzcu7ZblIH92IMsxwIUK0
JSMEXWkvBIUIwEJXgXWQl1PtALlOGFQDXKXPCraaQYaNjy7K+t7S+wPBGT2WaOlZqxZQkjxC6tyo
w85IJnqhPsqlfVQN0n4dmQ/W98v/96/9/jLefzdcLWhpWrsAVhe4jBb4HmxbvdtGmiHuobGZwkZv
U08Nm2KnzIu4T+6/8fs7uWTMX1raHRHvQ8c8mq2nXkbskbByjRyYCnqA9yAsUfMyvk7Q3a+R0+xI
LD6Xr+b7+Ms6SIwL4xdJwPHhDuwWjvpMu6BeGhaC6k4XczmGiCkR52FI6FtwCYkiB1ZZNp3qxdgF
vBErjv3fVtzmfunqv/iFh+pJ569Co8clVars4lm+JN1pfTNSm40ByU47l/csDru9GYfEW4+C6Anb
57aCpQ/Iba8PRbqxrowIxU9jJ59SZaM8ZZ+64akoKWtb9GenyZzyq75mAG3N0agfxtjRL9Gzis1t
8znWRw4EhLsK9wijzHIvdS6+5IrsDJGXp/ZwhBldRGSoANg5lukneDa2uZcewtyHCiM/kq0h2sO2
yI+mcRWEX7x1yHmecsv6DdQeMKbpq9lBLOkZRX70uT2fVGhaWAEHtd9k1+KJqlstd4vkitAVOTsu
aEiGXfmcPgvvUAmAkpA9uJU/YK7wrH7m8l4WMf7arPF3f1RuVpCyVMkQhXu8jRgm2nhRHeC3kSSe
vo8fxWgrl9gxz7y5ZaP+mv3ppZ6D8TW+Ds+S1+LJ5zEjBpNe7eWJWw0KkU/HKbnQRcaTath4EuWw
MOzyJlYObBLhmgr2nNrz6I7odLHffugmJ8VvkXkOAx/gSkLMsI3edAFm0VvkL5XHsEdIXaZbe9JF
eDZLUB6KZ+lBu5bTRtUvg7wluCY8qoGc2+MQzMwhnsSLcZUXR2bhCDuRdd04r0OANmAFG8Yb/FDs
zSPAMY3kNd3l830FRHQcGEy/MLAbvfK7PTZvwoUYaRj6frFbXXV/gzjpxseCN/OSdBsINaDJvzpK
3o/WAfs7SV8zcL+tOQ0yh4eWO+4dOcQLB3Ch7Kqa3Bp/Un2YGD2X6snaxZCvu42xWwqyvnbpzcTd
lE52DgxAZraqM1wbD481x4JLsGwEMYif8zuv2uGJdIxYWqc7yHYaRE/zTfDTk+YnO+PWlmct2emR
E0bOi3SRz+GO2hSf1/Kl7+3su90XG47BDrAEbNWL8M6CCfrWOdVruw+BAV8GT3WER5wy0Of1NgmL
sQebJD7NH3mAl8259j/Id+0Oil+7sHIbx3Tml+wdQciTcYHjUr1icwkWHblq5iWRG5ub/if9yXv7
rtokqd5Ft6qc+620B/S5e7TayidzvjuhHga4D/qdQ8s7KXwwMDW35ZP1qRGS8V7dhA0jk9pXr/3e
xGdp2kqf3buIeQY72hWOzU4kqwZ27wZT2tdmZz5J8Wb6pduV0/rDQ/F0V/RAxSX2ZJs95dNWuIIV
pT2PFDhIvKqe/Kt7TT9CxlSu4WuX1bDblzp3TEx57PWHQII+35Ik86RcrEuc7oDBwt0KgHziE6JZ
T4MMt5JPATsen3KjdBkT6UEcVA/66+QZ7+EBUwy/3NY/nUf8U/pJQv1CWGmxN5ie8MNtrKsG3Aar
LXO6/WA85pccrMsbBTu/gdu/isome0hVR6NoQmmzLTiAEM/ABvqJxCNq5HTgSrSNL3icy4IA5jRB
rVE2PSfQFc1Cw13DopGhg9m1BTXP0ag9Czskhsdv7fo5/sCOYBU33S861tntFxt2IsPY3I7dbiud
Y9jHforb6n44JC0Pm8VUSpv71XTnPtjmQ30Rya+qnJArK9kLk29oGwjQ0Ot0twvCm1pv1GUjto8Q
Iuf1LDzJzB0f0xt8bsKCFjsv/I6Yp+OyRXinbpnGEkT9Of6KTuaxTp3REd3+IDzNZ+uwPggMUakY
jhZmPMfwG7u29CB4dInoMJQrN6JE7faqXY2z8RY9cSW8GTvlSzh0W/ZfSlMPYFCgR9vE2/a5DSAD
JTBFN+KD5RJlt4nf9J9oD008Yvhqy28SQD+OlSxVZqRb6WRFduIzyLWCLoKnsIEALCqOZbnmU4tD
0o8YuUKQvos80kdpJz00wwfBWy8hS5saHL4yyvQNXRs0mcrhf6r+IecoW8Jtw3lISKm66xonIjHd
S3+s/llYbdPRJq5MFcOxDYNewXIiUs45DmHXOsNbsevqLSMlOBUG63wnHBnBwrJeHAWyDAOQ7XqJ
S1+U7dKNnH7axK4BNfuiLLbs9c/WURL9eo8IUjPsxp8Pum+xTaQH4TVz+y2lu3xOvqNjWjnmlzju
dM7UMxYBcBfIiSt8eMIUQbg9bvs9M86Ct9jcRoTIE168m3kPzTd2scp9s16p0aVDI9iGsWEMKHyA
80PHDb+0E8bV8jlT7TYkr0i0+08clvi1WDy2IceCI1z0p2i86HOw7nOn85HkIwDym2Nkj5/li3xd
XgvGKJ9AP3Fg7stTobrdW/xcY4Pxiy0nRXa/Vz6FRz5dTwqIteADM6YHPgj8+hICnq5ZvLWsCz69
g7STGaP1wJo8Jfa0rZBSEOimO+/I5ZLscSv5KySN137bw9wl6wonqK8wt7PZ6fAX2YeiYxzHn17c
hmBfWKIVfvmMCTxskJvwtvJJj+5EM/Zg7hOFeRMOp4/5Pi/34RY/WmgDh3irfqrWZXiAmFjNy2bx
ul/hThE2FmY0hEJvhcnrbgIKjMLuQwQ0dsGHt0eguLgyKbP1dnrQhgMWD6gx5IPxU7G2SdDSbOPI
TF67DFz3wtNCvZFstGfMfKDJf5ZwLl0BpcdZ8CIoNTBrDZjJtlq5bMzSr31zixFMuz6wwrpzUe+k
0onFDQMr6A/DPu8dEylSGciP/HlDsEvUBqO7PM7j3si8O7cywz7XZo6kx55SeqYW0LMn+oVKIa1u
ukqoldOZVxpJYThSsNXf7WNvPfXpNqQMfU+LnXThgIL+JCc3QMHysXtIHrBQ1IOpcaOn4SXDaIPB
i8YZhXDIMXYmhUv9SzQ2MZf+s/YwK+hUiNxzYQbo2wijhywAnKOcg4WUnKIP8x0vqN7Ov/HffTfA
7rajq7xXB6wmgmHfv6mPde4vTIThlD4hvrcHZFPKJl63ceEQqWpsrfcea0IYRcW+UjZL+VAaDhLA
eGOGD9H6VH3V73WMcoNAIzsxKc2/I81F7lH+oO0q1G+0ZUQ3LC4yrFzHLRfuPBLGDTUjWYEPeCiL
ATDptfQTksaemHaGL4Jgr8f1pzroT9VrSqLu1rxGlF9B+YwGdaP0GyJU8mOtkcGL7slJ9U3DZuUp
sdgujbRpYaBs8ht1XF9+EBxeAY0eZ3C9F14n4lDEA1xfASanCHTMRyZuYf2ijRfhXDyhlJlVm3Kc
6XUKVfQTsuf6zcXWIIzYR5QSthnuxRd4K0+YqsyBQFwhs/aTucX2hY9vXDfaRTvCo0+fFy+kRv1k
4QvBmAfUrQh+HADz8h0HlPZ7OHSOxJbheoJVByH/ueSoDsItdYtDHPpeaR3Nq4LcM3fJ0TzUaMFM
quCNcYwfqByid/ZMTnh5UCOBUf1etOsnfQ3q1LvrbTMY7G5rXUOkMaw2PDxPRmHPe3B1cAp1G6Lg
q72MHSFv6ifGv9G7xIFFRYWDF+fsPjP9/DmUnLX6ehPe6/ldrC5j7jSvoM6RsAs9Kigsd1IbIjXl
2dxeZ7Xx7za6bhhR1vfo9ql9RNv64mFwq2aU8TQ0O9kWjsV1vuF7O75bhtMGamyDsn/ds7uvCFqY
TmJqsZ5bRn5e84I9aMwlFEIpmrjv9jGFn+wBBJvyNr6xQSuY454aFBccVojo5PwM8h2u2B+jaUf7
/Bqdalooi1ppgLDzDRDwqH4yn6ERpWA1XWQyZNpu0fdlkMWD5Fw+8rKls/guXpQrYAb/LOooeoQ3
tD4jjGTo7PvK4eEK+/wd7I5GIf/uwj0EkvuU/Rp9cRoT8w2jqj+ZLwh2P9Ofdpsy0tvVrvorxNTd
kUJ6Pmpkuzpaj/cg28auD1OA+5nmdG78VaTMsOiHtlhlsI/aIHW5o1gvwytQAff18Ar00Tcbgqdp
GpzoQX0U3gpP/CUuXh3ZHVv1nHEeQvzkI+8/iP5Qf7U/3FoTFjzrpuqcaRePjuKGv8J99xK1+xQy
704+CI4RFMjcYqcZ7cHciV7zZumcROxQPuwfKPSCZlsBOhADroQT4ufoW5f20t8gc76Yi1Ohf4T4
yV6FEeoth/iDqjr94fSTckdPnPxzAeCL7O+xhmXpUTbBz+aW71+GS4yj05f2yup8TD5Cv9haoTMn
jrU3ThL6wi9mC5AurPU5BsB0DQUqvK2+CwcsHhHKu9ZiJw6nv75ndOLEhLxB9HHTXRfESODP0tP9
sLmTxOjhjJ10ru9NrMmEwQfPi07LTXp9bSTG8g6wD0NbNOdcjM17Dpd9Q9rDiYXDQ4ov8j7+Rv5q
PuaVnfyk1/EXl4DwJHnlW3ldyKjlnrjgxbUznjij2BTGF1O3g3JYghSh8FuGdUO+WZ/4YfNbHznk
oKmZDXi7pJt4R0UcElO+oV2He5t+q7QYVEYqzEk7PiKvEh855THhQm5xJH0mvVan6gM6unW445sC
Ux83fIyeYvaTHb7k36zh8ZUSGlOSZiNekgeOI5kjB8kZ9oOb7qV70d66F47H+FHcIyQ4N970Qu+q
HsuD5Bn7XXYRXeO1Zbc1EEorj8OTw1J7o7a+je/TlmnMS32DoCY4CzzSYKSU9pZXGnZyurpDDU+y
cTpPZOTHsO/ZClhNn+2FzBqyoTJIYaUzXc3XZd5bzngKf00z7nGeUPia6FdY33Drb/qtccqA/tk2
KHxo4iZkjDYhv2yg+dRM+/on9DR5u6peQQUweCJxFD5/sPK1/XKqHzgF4RxawcKLbf32UQtmn09A
PChux0DwhsY4tjPwoPIZJ5cKXIiLkuHW6V4+oyX8LCnLYnd2xa/G9LPO5QB/ETjI78QFu94ax/qj
e0VOIdN4ShfhRmh8hK03W2lQfQMS9GTlYSAwmgl+f5fNGI1qhOw63SqmjtGypSHvI2h6x2uWh4cR
7QrQkEjJHq1sLGaYuN9/PYOEVWR9w1Kxsn0njaabttzjaJ5CJ0kRTClr/irkSucZvcb71jtBDkSt
5NvIJMFbBTtrUtQlCbUXLGUYotNwzsS08fOS1xPXI1Lnhc0w3b+k0G42A5MNNN6rAg2uO6jSTLk0
V//3y2y2x0GtdR/7qzyYp5IRpUpBmbd5E1jf1nfVWePBEgZzsKFzAcLCT3DxxqdT+f1FX2+5IRDE
YhDJTjoX1EKsXygfYvMFkmW7xfWJzd40SBABnlW0pzA5gGiX9UvU0quQ4UZbu1MdmZAGJKTP7WlS
5S85Ezu7TGnmdPMS8n6DpGH81xTY0jb0XKFA/22h7m6i5VupwyORpTIlbDQgHntNdbljq4joj3kQ
gypv4SsXmHqtXI/zxeiGzF+RWoDMMDgL62e1e1lU2Kv37xNzbmCLdF8kQ12tvH5q5+6xF9aMM1Ld
VHP+Mek1EOrystSC4vcqvqfkQEuLcc6WaFsL8kmh8bTwhS8l9ckgJ8M25LvH0ELHQsiLnIeXkOGO
O/Xmcz2smpdFsIHCeb0R5PrA46CAqdQQnKj+MoUxto1xcHCI/WXKmhBYYYyiL96GSnvoyrnbDais
OGfyfNcalK7GvJ3EJT61AqITxBiLHzaDP4pRsknU+xSzM45mbs0kkFFkWiNgYFMABwmr6luW/Avj
ZMU1ZfK7EsgZTiSF6Edf1kH7USeIj0LIrsuG3COcIENGMQQI2E9pE9MNS+Y/eHtJf9hTqibOrqKh
4WF1N6mUjT8MXfQ5l8tRMNvtpOIPUZG2Y+PoZcthsusK0rWLxm/VNMDwmcu4XW7/+78dhv7COOc/
/V3u/7olKaKJabOu/uHvgk3q3JPT3G7FbPoJZ9URuwjoIAXFEO4EpbDVQbtEtNJ//+9K2A79u48N
bxsLQ8MyNYZbqvyHe5fY6fUsz1LLpKUI7RalWKv7iTGdFx0t/CrCpi/aIzK8o27B52ScTGdbKTvV
moJ/eCn39/hvljq/X4ohK6pqWbyiP56AlGniAj203YYitggY7WMLIXzHlQkr8iF+iGrmk3dDGJbv
zPRsvGlhs24sKuExWv5hOfzh0fd7NcgSXFTFVLW75S+v9V/M6bQklGQBaz1KwRJBVcoFf7cVyJf6
I0aLFgqm+g9PQvmrBSgj8TCQmIj4m//xJDImdmtdC+1WL4H7jKm4GYoGT5JKa1jJu7h//IbUv9d1
iGFM6XcoUZuZ0h46ACqTPFDyMIVinNoiUlo7k6n1VY2/FGYeslsUV237jOW7Vy8wU/uCx1sPjMAb
nCNoiCCHuYnZX/7+of7VM8Ug00Aia95dr/5Y10uk1txKUbc1Cy5CHXsYW2+mf9g8vxfpnytHkdk7
d4Nm0TDkf39axGP1S2/J7XZstSveNJexMPaTAfjds2NqIFhjKi9rPWLHYPHNZO7mVDui/5iRr2OJ
HLOi8q4+T4dQNQ88e7821W+rv3uW1O950x7XBQONWm98sQvP4hD/VG3Ren//Ycn/4Z7FDlBkXZNF
y5QsSb0vkX9ZdfjmzhKGcLQDFqVpZFS4FehwnBi1EGmB5VCbFFuS6Hczbk/iHVY2yZzJnyNpguCY
4TCiz9+RJX+bWXvr7p4LSoRbwTpF57D4fwZy/+Yf97/+JQPhL88ORWVwx+WFId7v3/+Xl6t0ll4Z
CS+XlbUZJFxtEFxt1rvtlFSMt4yR+l3T/z5rxIyAXUYQ4MBk7NwU+3/Yr395fCsc3KIKox5i6B9L
IIJYIgnm0m4zjemJ0WSLc3cbWWIwoUZu/EhjP/Wki+sRY4wpLr7+/tn95fZVLE1WRXzedBbiH88O
vcl/rcEZQpHTSjIg85hAEl1u5pCmNuF0dnffeeiyMgxB7g9nlJ9SE1zpbiczI5NDxj4Tb8Lvr5D9
N30qffdGBuAaHeu8xrsnp8u2euT9y5UAnU98IvbIKAFM0zG4uyz1dxuqv39j/8Mna+pYHSqyav7H
uQQHlQUkttuu2msDELtOqqUKa82bsZrpU7jEq2TtiDuAkVu9/P2//lf3Iivs7ngmYrj3p7O4Oofq
oBbcCcvdp0cAmpgQuLFpU1+KjFuqlQAkU/8P7/mvTi1VxDGJmDCMbow/7OQy4sr+D2nn1ds2t6Xh
vzL47jnDTm5gvnOhXmzHshU7zg3hxA577/z185A+59hRBGsGAxiCZBW2zV3WetfzNriGFpuh41oi
uPlu2un3z4/s0jZORhjfqFTqRGmwiPyuB7NY63Z8ofM92ya5GRRNcF+Q5D5tkyKA1aJW3BS5stJa
UgA9vYjoaGBGmhy6CROk+0sjr6+plzlQ1EQyHv0wZoCRA9K/aK4bmfpQsO+Lto/IUllEDLze++5n
7qoqUQA3Gi25lvqvXsbY3I/AKNe6y3znxwgcsx1UGp+fOGW8lX/v7aGvGjDP6XsEkv2TMUU3shqv
Y8HiDXH6rGIYn+lRvFQRQc2D0bveKqOvVHeTcgB340o5WZOMqW8mksXnu3KCsGWWwJ5YtmCyaqiK
ddrp5OZoSpdp+SZPfkkuyXZPJX5tVQp53P7QFfDWNYAVnnYBQvrn7ATVpI2wzjJtVbOnM/Sh4xWA
Y4cijPLNgA+XpXJPlpzseZo11KPR6RbOpfnQ2OJPzjnHZxu4ISoYi5zOjkXp+0Pf21SH6Tb8CJTZ
TGW/ZUXw8PkZPbsdXZUVLjC9uT4e+YcjM1nDaaKw0o1N7GZw1LXUUsyQOxfmmvaf015NsT5s52Sy
JUHKdhCOpBuQFJUk9AWab1b55kzqkAVA6CaveBf56TYtg45+O3vSg62VB0cOn1hDUzcrSYyaKy1e
auixFM2D581MaIZnD3uc9DbvQT5oUbDlOoCb2iVmpIuO8vtMTtbwQ6VlZ8goeqH71MJGVOG4925M
HRi8c+J/2tbIS3c1NKs09uKrVidDpzRWOheujgA+rZZeOvykzlzagtUFl8Pq2zDI5Wf1z8aWkReE
nsuCmHoxgCLPWM2wPCXV5nYVejX7SbFQSoB9zChuaqtFukWGpBypY9xhMPXUxqaMcBW6DkZrBzfz
fskw8RahQwbbMmximINirQrD+Cav1GC4ZdGcrx0irKkgAd6YlNsEIeIBu/Me/GEAEv/l85ainBmY
mFBaBregjDIMM6bf20oUDZLGMi3dBDFAANVr75soOWitem8X4gfRiGYm9+GBcp5HEQe3pfB0IE0t
pf5XqW/s+kS/p3j9m6HkS8XLvg5S9F0xtYiRugL2H6nrofcI7OSYUcjuQ9GYCRfXqecUJa47R34p
SuqrrfBAWRtZKt17SBtSpxJAUE38iNr23qjEzVDV92pIyLVxVnqQkBCJxU2Re0udMsJK5wtB5M/x
GFp4LbWcwSFW9StqSQ5q1dxTMucWL0GfbDVNeeldZe1I1g08mHCmFepznSjrrCP16HPaHYcslu/j
UB0v82JAXEHNwnzcT1Vvw0Vp1feeqbxM32vMK1yrDqhvF2UDoUJFzldFYtdpzsYgLVgX8nMZNBun
o09T9G+ammyps9hFfnI9eOqta+hfXFDspld8lYb0mmoXmDue99Vrw6fCy4aryoPJ47jSXZWUuH9Z
L8IwiebbxWNKOeItFnbUbiW3lMald6xBaVMOBVcXWsiZgUIV0FIJPhmoMq2TzsSJoZaqRY86GgxZ
6hb9DtNlWAiCOGRcGCs/Fi8+AnYkGQVyFpnLHpYdSVBHazcX9mUczk86UE218L3QBSwPcbpEIcrS
NG0WpxtwIMjTd6Ek+WOhWry00cvVJhagCO/luZS1z51V/VRS+b4sUNZ4nq0v0wYnRc2W3G1bdRcG
MeXPVYfGCk02TVWxoWKe9u2FC3/aq81k41IyQLwrs5HKknhBXO7una54cuIBOqGlRpvSgrPlSe22
rmXnwqA2wpFPTxF8W8Yz28YMkxnL7/dz1Yd26/Q1eFn7K0SAeE39X4w35sgNoahj1gUdTqwR4kQt
3RYjTaMaa851mPaFHwVUNJo/jXgfUU5AWL67hfeHTYUjIX+isETVw7kqUM46RbUYTOlWA0Q+9/xK
hTgHW0tPh5VTmzNKNqL/++IEAzVTA8lgENtQ1ZOeqgyrLAqpqYLQWt9UqiD1XjzDoJo1UXHM2+QY
1T3SH20AFpM+f97y/pxB41JHB2mBhMZ5xTiZZ4ZNRnWTElCOYpNuol5p0fX9kWjdyjfzq1aN7wYJ
8dDnGz3Tppi1g7u2cDVhJmCeHHFWpmntNnW0SUMkn2gJs7B8Hswa6EfwxXDQSSfUyHXPcWAdUFG/
fL75aQr4+902OiwoLByg9JvG6cTM9aMs0aM82gwGPnnAUmkdpor0TsbdQv8SROahoTiA9LZBTloC
bdESncgbfdbJ9mNRa8d6fNv2wy99SS1/1tlETNLnvr/T6mswfrsgpUTfKi5drT+7CXacRQeTdsNg
98cu7cP8JzeIW5t1zI5TdO9pVAMP9ktAET4Iygurg3MNQyPoZ3KamAkZJ5vykAo7diXCTRjCNbCo
8HCtdWzU1xY6b0rGWFFW4vHzC/PnhJnDg5iuATkfO5vTaZeeAdaU7BAlED8vsue0V44gGRZypnyd
TnnoxEvA+xfa45/TSl1mSa5Nk3U2fHITGCVBjMqxwo1U17s+aja6Hn7xTfnq88NTzp1TQybchUMA
U/TTMC7Trs73+e2NmxgHs2ENn3KjEXBjqEyfckm7CnV1hUvqyoYtoJf0soVGpVXdb31EgUCqDDhw
g/UoOZda1pnpEudAkZm/26pssiL8vWl1ktoleM2EaKW1/eB795rR0Qc4V5D593XzpDjBaPcGI0q5
1NSMcaQ9vR/Hrs8ygIQx0pxsmwGkElCOwo0wgEvoFPoRAYG1IFsp/Tp+LhVMtxkFmuAaIJEk+Jdw
BKiKY/eLRxE81i7OMAc+eD0Bb22FQkCbm1pTqD3u4hBiDSOB68+47QmYKWqxoDIOUUhWJyunTO4i
nSLybiTITNAxXAcpoKeahDqxaKxoO04sAym3l0YLvGj6OEA8ATsJ6BNF5IRawcG17feqNHZFA5Jh
SOWxKN5debaWz2Efg+TwfxDXQ/nWAffD7mYDiEvMVSV/BvC8ysZlwIUGN96kf5xYGycVjcFb6KcN
bghguHo6HV3fSt+dAL2cZyzNfhcXqNFygCiOUe/SBBIJRVMvVOcstay8/Xwnzt5cWA6QvhAq/P+T
jiTWcyYPbhptqOlEUsVhy6FytK3qwqLtTLyRFixM1r106iaxvt9bMNVuWpLlSbRpNZJOaBPtGmQH
/XSZNzumUEeYB+jBuTaVZhy8Wr0qnOaqtYdLO/LnTGWM0CukiWyCn5z933dkCGTKiEGzbpQS7kXN
w6Ir1qX7HMb9N2Ms5SzL6EeRGzdjIXxs//i/n3DOgs6Artt455z0otwGZhN69GaYvr+M57tAXxYX
zoXOWv1zkUwQjJ6RPAPhe/X0ru3KMMHVkh7DDEkxCDj/syiLUGdZh7BXoDzQZwVatfEbU8zailYO
eX7WoDFRCyjiIQUPrBw2g2DKO6bvfF08xjBzVAezgQ55YKkgcLrcDZ/rbXBn0FnhizNhGdssbBB+
TYiys95JLZZ4WfbMqZwnqnrVyxd7/bPnSdVg3YG9sP/I3EScJMsk+rXpuy+SUoNEDrPnmrApSEgb
ZU3k/6ijHzrgl1YCV9UyIzXznZ8ggPm8YVjjHXDaHXChSPLqioY5yck4J2oVwJObhxuKjKnSAfRv
A36AQJlDrfTRflEklVYlhnnmgSnBQdjlWrafLFs/xmhr0tfOpXTFj5tNyXQpYIAENe1h5cBDIxSU
7Z1xbQjnuq/Uo90RzMhoDLKWPWNr+iC06j7O0mfRyVcZoPpZiXJSL54KGwsjV0Jdy3yJUDUhSHEc
lPxOg9aUCX8ED7/6Kcl2z461ZaqaV9QY3zUaCJjMKvZerYG3kFdk+BeOhUd0aj4mPstcmr2M4rST
wVqqVx7NYRYaPqyd79Nzy4yX01nOciIqXvoDp9oLs2v97LW3iLDS/1Hbdzq1L5xyDCnEjGx5sUuA
Ldlhs2tJci7GG6JoW/RBXr8xlLpgAfPD5EwHQjkGRfIcuMXP2iu3g6wfJZ9ZZtXSYedFfg+L43bQ
i5ZpKRbehfcz+KEIkCO1hyjB7G+p8NqksMjCkTNlRSbKaMl8aWhcdmaU80ZD9zj2xfglAj+HgA9e
KqNap6GSIHXvqpJ8liVdGAbOTTAUWWcZSYG3GJdxv/eKkVV3gQ9AZCNVykzpkju3c3ZysMSE8Gta
9M9yhlbHiQ4i7S9cBfXMEKTQGY6TZpK12ul8X1W4q3XKtzeDo7yAa/sG7P/BUrxlLpL7IPteK9pG
2/Sv5lhYZiDc8b7JqXWVOtqz3VT3SQ5Qz87I+mVjpGpddggoVCdZEe+hpEpU914RXTBNPde7EtNS
TOb7zMf+WHY30FY7zALTTRugaLOSbV4T34nb+yJMtkMW7uTWWmkeFVqoNPuEnUNHMmvlGpNP1BGW
R+mM9yWyhp9Bp3+LbfllgAUX2F+VuH8OS/nCmurs5cWvToy5GNZ0p6OvLonAL+wy3VBOd5ObbYFo
6MGtsr0s+weXyVYSdcseK9YeA/QLHdu5iTXbHiPPqmII+urf2xZdXluVek7bwjxlrtKalU6/4q5Z
G+nCkIJ7Kut33iC/ZJH8Qpx6BbFtnbQO5nf1PaX5s7CykTEDn9bk5PrzXvfcYpedYzmjMQdj5XbS
68ZOoQOc50oOVfoN3NiqH4xvgUF36XrWjPXplZwQW3IN48Z0xU7v3IcLe3BmXcWVkYVmj9aC9uk0
MLN0v4oTokt539yP16c1xcYtgZhX33TR3Mty+JDG5lUX2jc+9WToPNJA+xaUw0tluQcp0b8lQPYl
napZ65L165nhGIM4siSazpj0R3a+gW+ZDMShUULXrKvTV8PIj1FJA/Ld/GDXyaVk8JlVGB2yrKqG
oqJuOe2IaBlOiqFusiE6sCpc1PDwTGaQVxeZ6d0HXs8/uwu383iNT0Ze8vWyoWlkoHVVjD3Uh4V7
NrRdITsEr6hYfhzQMXbUhlsV3sbJpcC3de5qf9zWSXsTUhAGuj4GygR8rBKf+yxQIHWxwlH857xL
AbDZyBp1be3J+c2QpRZFOPYe909uWnNByfpxJPrGurVyyecVWb+VU/0RUH1MJh93EnBL0bDOlNoH
wyNvSyk7UhLrgdDXKoK1UCT21j6ri+NEPkaiGZN+hM2XveqJsuk15oVGA3YlGLalp2zzxFomafOl
919c1VqKMkFJZ+1sarAJuahduqnSfi3nYp8VzY2Igb5I/boYyhupzY8hAJ9aotSUAtCoucY2d6vV
VKnl9a8gqI5NyV66yU2XQDCJneHeiMiUYIvbsfgeUVgWCJuoG2bZD3vrhSzPUl3AfHHkb1jZPIWl
uSlAlkm91s8BaYtu0ciY5GgQaVY59WgT4VJwKCsdlSTVePrORBNkBW6+ijuU0nL8nCHNIrJY4oNV
7XEHjmChJowjZo6TT0oLBC+w1rVBBYrk+jvuYCpBSbWsA7dFuFm1sOkARbV9gEFEHd7VMZNEDbvF
EZ8f8RMjdR9ZIqwE48brLG8NWQjJOBHsGSYM35wcnXUgtHWCLZAtZQcwetTo0OoHOzmAOl9oGfMx
S+62ZcJQaECNC6kXbvAOEuGroDzI8suj7dh7wy5eGz89uEVykMoKLYWD5kmnpD39WdrKoxpRt5iE
6UPQbWEZziwT3C2Jg0cLOJKTUeQNpFh4G8/gt0LnWsbUqgYcoHnGqpK2Y5PozPwgemtvmz1FpOzk
2A8ASV+jb11rIdxDx7tq/fpbarndIqn79efd5dn7R7Eshc5BQ7ZysmA18zKvepMOSS2dRWHSI3vt
bZ/heIFKSO/NZT2IPYd4YZZybpJC/IPVK2IKtEonmzW8HoaK21NFRvpHkcVNEsbE85MLPdHZ4chg
hkmGk5Az4JvfuyIdcRDwepFs2l5s6ramJgoSfEy1LtGUFDkd0E3vIAr12scWJ1cuzxTO9fgMqpbJ
OSYKe7pwFFmcx1lrkFGghiPKUZzW6N9bybzi3zcIBVj02TPHHe7o/Jeej+IVJOKVXABItgk+1hjy
VFVxG6pYatnm3olVMlgGsGQHI5oWcuYsVhJuwdLZuFHykrrVXe25O7jie9E3wBRwm2qMggqFhGi+
i1GISwFx3NaLPjWPWg0GLqS7rHGdnsmRNFcLaKVeP1Y6yf2zlmDGPmC441lzRVg3sScj5H9RyxBh
TkMBPr5eM0vz7/LsUNgpGnadogG5Gp7Hq5lCBqP+qwsXdmA+sJQKYxNoQw8+KzgU8JYg9zIT+e5I
LcKFMWPn0W9ocPQWiusTqGmCa5tJKl4FATgFolBlbFULNWhcogxgHBUQwpHjr7H8wIUAgXoVZa8U
UgEmlWFzd1iB2wgjWlfH0qDSj1nX5qsezb+VVS54B0GFtgKHgtyj1Zi7UqaIMsINuu6osW2ChyHM
oG/Eo0icmk/fYQMjVvDze/DceGlqLNEFejea6niPfhgvfbk04iRsEuiH5JjUr7EZ7ftWXocKdjX/
r02dLtGaDN5wCvJx41mQFBP4wgkxdjCJ87aSLhzW2VmyyboKXQpyNJZzvx+XnKtZmusFxxVuSg83
PTdZel26GuftgdI/KS72YlSygxu+cJjnZj1EaQhJMdViHXYyRTYLZAVJRPfSkfaFgB7HlLxU1Y3l
ib2ScX15/fmJPb9Fg0j+aGz6R7QBODXqFjiGmyIoKAArjlBlnhWnf0yj4rViDIHqtPx8k1PXcTrP
GvWxxDpRK1un4p+hzKD646CwCbrIm+uYHDZoHCm2FBiNysVsqMz7EjYTXnBtdG/bxzyE4lj0zBGK
dkz1URyRVQeJgaqk2JU607hiRuoPa9EjbTCkFOoEziNWbOxDRG8EuhyK4oatmVnmfCiGNS7D1dyy
ud9aqtLwGiC2vW/g6C64V/a+D1+K5G05V5z7IqIwroIJFwttk8bq107k+KAn/QxP9yWC5oVXedCE
hRQuVPwTiM22VB2P1ed5CTQJASAmYTghF1Eyh+P/FNhQJwzgeJ+f1bOtljarkQoiNY0G9fdW23YO
XmmeiDdtnr1G/YOANhI6wxZ83Y2qL6t6EVDvOFwKZJ5rQPCACGQS0NX/WBmUjdR7mWrGGwjVr8HA
5RND+dxH1XM8ajC6IjvA/Tl+frDnRn8yTyje5fFhml1/6HlkUYQIkiEfhgwhKbiauUCnNQ79RWrs
Alv5EqX5cZyffL7dcz3eh+2erp+DQY+a1JBjCpu7tR3RxgK7vGlV5bFIm5vPtyXORKhxITYRibEs
pVc4CZVXrY2hB6ZMGy0J7rquaRc+snWXaKxaRBU2LtkvAzM3sk/Dupc9atltmBnEDRUutOOU1swo
N5r7EqXQj0yz+xK42gFWZRc7AE41nNYhN764JrVYpQ4szzGeAjSSS1VFltdhu1fCGPQCwDnG8LWq
QZoM4T19I+xeyFMrL9kyp6UsmmqTkmptnNsep+IS0w5kbJ8ouxM3YUo1Ui6x3lDAX89YeREwTpnr
S8kRm42SkhDizo6ydhsDj7uqxE0PY0ikVMvEaJ+aQW8xgWPZo1TGGrnXjWO6kJxb4Jd4mjAEVzAm
wrmrwhAOte6gR95unDfnhfZoMyPuStoGlgpL1+sedXfABqs6Bml9g91DtrRCad+FxrIFP+tL3i9p
KPql4VU7PGarG6PwcIui+BWH3gtDzLmbRowG1CQeuFtPRZ243JfoLjPi6hmrq1R7bMBRVLL+aGTG
noTvY4VF2YWeXj3XeAWaDKohLFLFp+2J9aWLbyEdhBlZNyrAe2S3jrpQynkOCdcf3aGUMQVX+mJj
OgGWhrFz0/lBsHGD+L6oSWtmKmnfGNcONfiVONk39PaYWzXDiJYI97B44SXUANXBZi2jhhJgxYAG
8fl9caZSQKfGAp2HSndDrPLkvnClPkJTGcE8cuIV+ikq3GUi3l2h3OgxR4X/VjbzKeqTevjroeRh
ticEwuw+JULuUogoiWrd1PTCVXKPqx76LUqd1rgWUIkLvx1Lj+ih0VaOqQGPzyBeVhIGFJE8WkPL
+L76jbf5/KD+dPwG/YhoQBknUzbhn7HFfOjRhNnbcaVq0aZTg2VOUB2Umn2sUqwsCrVbKcLJFmkM
OjxWlaMHX4E1fEJ5r4s3SJWEaz9kGQC10vbsC/3QOSEGom1SR+MswfojMOt2xpA5DZ1tZntXtR89
S1F+8FIKow2dQuQKj5MCjndpdEfgj1+8rro2SH3NGoeVZ1VaD+0q9pLXKuRCQalH5ha/9rgVWC0/
USf2HtMa1D669OvCOZXP9KBoI5AKIHAjsXOa1ZQDxzUJG8XoswuMlELq/eqebsORdzg/oxHh7HZD
6m9bbyda0ANpEA7XQobd0Hovcp+rX0igkd2OIAZpzujPWeeo3pT+2R24XfroB/6QybJNqi/QUeGe
4KwoMmIcicndYviNtAjgquLbyc3WQx03bP+OzgpAZZJamygUOm67CWspW9ulKg45mkdceMx8wU3x
dgDUgPRFBCiaZuSaOq/UKd49lrnmoTUU0lLOM5SnknZnG/5jggxpptW6Mmsz5kq2ZF+F4qfV0gWb
Qf3iGvLCMZjNJM0GIdsiN79DLH11HXfXubCf3MBYuFp6GMeTxvqKDeb3cVJYRdpjWRRHpa5fVHJ9
5M0fG19VyP7zw5pcHT3m/G3bbEVWkSD39lDrm4Xrt7+uHVm7EYwGrh6Ea6KFlKQXOZYpwjpgh8zy
ESIgXWwD8yurNkM0ckd7+XuS9j8vtIVzTQFBmiYjWmFRe5pV60kmRGWlxZsuSCOwkNoMvO9d7Jbd
mvUc58cXh0aXMPEc+y/qbMJYuaAsOTNpoUDQRmdujCP6aYAXu+s8j8cJmki5fG2UPZgWiOFG5Jwb
5KQb0efLgTrSmQ9r+dJdfKb3J1RCTocwLjPE0+h7Qo69bmM/2YQ1JpJZEmz0FIaZBeh+oeWUV6UU
I13Zxr3BPbCKHQ94aLlxshTfZ6+y12oS3Dh1rm61frQAbAQQQny5ZGPb1J1zDS1zgWHS0bcxDmVu
sWZWw5ywKN5Gsf/6rWKp/Md/8/pnmmG86nrVyct/XGPLlpbpr+q/x6/9+2O/f+kfxzTm79OPrF/T
m+f4tTz90G8/y9b/uXeL5+r5txfLBF1Nf6hfi/7utayjatoF9zUdP/m/ffM/XqdfOfbZ699/Pb9w
CaARU/b8s/rrn29tX/7+i8o4jWDUf33cwj/fHg/h779uXpvnF6JZb7/24Suvz2X191+Souj/SZqK
EiBFZ9SUBava9vXtrXEqkKRF5f39l67+J/V32rQ2Q5eAFOSv/yjTenxLM3iL7pT3GYApXTD/+tfe
3L4t794uFMf/z9e/VZ4RMmFM+7AORMZEnaRJeF/TGMyp2/19zPMqvYM8m2nXHpGPgLq/pVUwkLuY
E5F1qZmTALGnHIT6SO+5rvEwq8LRljjHhWZQi69OmiO/xPd+ZUrOOqnUAnNCWI2wCypTGeZVkdOs
0THM8PF4VrwGtllbLusa18gW4dAgl+m2wSsvqpVklXZA6mKnB9rmMH9VklunxKNZsUHguOV1Qz+u
pgZwckLtoPj9QAcwvys1z2btXN2T6M6vCkM/2hoa77zGaFUpmCzIbUNYWW22cgUqT8kMHC2J0jxU
bnE0tPqhiOT0URMtoKHuBiP4citqkNZa03ZzWQrSHXFmwJ8weXsDcqHhKj8tLOKXjpM4c7+1gGmq
+HLJdXwrkTAgYQqZT63tfW3m0LyC6CCBnagwH8UlnBm6Za0CZdgLA12n42ZPONfe+nJ/PWQenVKT
K7gOtjvbU+mGgH8vO3k4hO2T4YAMpkmU8FRaXL8G5U64pAemb5hu5WI1zFRbtRNkxkYtEMtF8dwq
QWFUHQjnIsCW1AlvjcHP1hVx86W2Ulp/rcTQXoi2cLLxEqmVXZFSq0+fQKmhT/JWSxwsnF5wIKIO
D3hF5Gnmvg2h0GPnYJIJ7kvjSytX8TIJv+h5hdkgUPEFpc2/rLJ9QsSVbyQCCW7gA4lCOevX2AMG
AY5iRRAhi0gisvcOhlIhvD98iHCdxxaP2qpm7rWqPo90DODQlVvADlZJGS7Vym52TR0HlFi7IAKx
11oEg1YvGgnaSNGG11pfBEvqF67NqJdnkgWhOXKFMW+anXPrBpJ/HYUNsn3OTToE0hGKaRYpoxot
zlZR24y8/L5ek3YidYFkO7rNcnBdRlpdWfc2lQhjWhAn7NFFtXGucwUmlq8ziMgJQOoAlEtkey3G
M/Kji1UrNIhW5/Tgp0X9xzZrgUtI8LuapgFmCDShjWHDMDqBLGi1xxCSuO9aG78wwn2noBeygN8H
WhBjq6QPC0Un9qH77ldhMr0WuUazrXDudmL5RvW6cu2VYEocpWuuC64iOQCxBg+PxkOCPGbmzHFl
LdqaLVQi6Lf4zzAfQdnLPd9GxrJv3HAWhckjFRHllZ1S3VxqRy3y6qe8nqbrX+WxtjxtIoPKH0yk
hm7P4tjdF4qUbXuvgJDvO0BzlHZ4MH0fyouLf4Gk+ddKC9ozkgVSZrjs0J5gpEnSNtQ1+abw6xYj
X8lakZF5VK04vY5VuEYMgM3MsgJjHTmedmPH9pWnq/FYpgxPfR4DW3XdQXqSI+W6ku36Na+z9MrC
PHSw02YVBuADPcXx9uhXi3mveulClqr02pdsee056ZNqZM7ezf1u2XYlflZlmO8Q9WInA1thMUhd
9AVId7kxLd/Z+pmOzTpCdCbOuG64BSZRRiU1S6MsAYE2eK/npoftc0G6Dgw1oXFyGesC3yz4biP3
3nEeqkoPjnWcztOcEp9G9XVmO6aNZ6SEAK4cbjnOqgewj/sYtJ2GiqM0iK+8yDDfHqIguE4MZ1ta
sCeASqxxUMP/sK2qL0LrXnGjMO4xYNAhd6HopLh9XyfdgqqUDFdV8ztCFn0NWn5P34+8SQclJClC
wpYiLnfTgzY+Q1fTYqgwPp1eT88SzQT56Nj1v97vSYhyvng9vf/+8u2T0z+tQvBL01sfnk5vdQZ0
dSxfb6efmD4y/f/kF2stTEHwq1/tZ9X2sx2V0ulODAP+1V5m/uuplPJ0ej09mz40Pbx/J7RoEbPp
bZuCPCqV/v1z7995/9/07ekN6oYpO8P7dU4JcY3R67it83sgTfs1feBtc9OvfHj69rVpK29PNRHs
ud2j9fvOf/jp9x07e6xvnzw5zuk7XYFyrbPIR7//7vvnyqK57w03WZ1u6u0A3w/9/SvTs9OPT//8
cHTTpj/s6fvX37754eenU4D5N7is9z3MskZdAGNIZ4Uqcaan708POmlHeTn9/oedmN56P0eZ0LdZ
ZBRrusAn12gwvRsv1dunOp04ldOAk9VAlYZVgk2f6hhgK2GVpq6rs4D361XeZYdYgrFk9U66A/Ze
DvMusWku03/f36oKNSIuJu1O/j+9NMYvT7/w/u7brwCF57c+/KLjwVfOtHLX5WG+x6gkkINi5zc2
dnXTU/wGkTtOr3sfIKCHmwzmbf/+Z4IN9jZMH98+Mr0xfQ8uv7Lq5PYLdH9BPyChmnRjQSYr6Qe6
fo+0oS32ACyyHYj8fDc9K3Q725HiK+d6FQXkAneYIN34wunW77doNnUFGfYOlapyftM9ikOGq5Br
xhw42dqlAPDavOK5RE8OFy/pv0dSBt6UrGuyG8aHPm3++WDWbnr25fvnpq9xNbIZWa95Zln1pusy
0OyltdUzTE3k7kfiiWJVFCVEb1zFNGwwWoqvzPsU5hAp0xKWLWKJneln6Y7sH3y/8SUoc+qNScP0
7VpjirOzo9rcyUIyd4IU6dzpagy4XLfdTQ/l+MxOQ5dwady4LOWQbPV1w4ejZiePz6aXWTUo68ZO
t1JnevvpoU1D6J09o3naKBI8g8JO9mVkog0ZL6ke2QnhTx4ssNRq61gbHJgSCNb/eqh96VemGO0y
SzMyMcLByNXszNuiLf19jz6CGBqQ7C7DLSxypE3UUTBpgI8fawuGeSIB9q3NNIS2xGSz0jABzNGq
7QBOaTvJlYpZ3AYyBddqvgsKNWYGrSB5afInJTOvC2YkDGect6C7ixW933oYU6pLLdThQuSQrlrP
dLaytqRKQdkJyVPADe4tvc2YG9tM/Qx6cjyieBiftSYeOpqWonXgVafCT4oUrNET1i27mOJZRiyw
WtMzYXpMslLjusm0BrAu14CWnVcbt8bDkglAT+E4598aH8A1IZqJ7uyBm1C2mmxnSQ317BhcbOS8
bJGNsA/EhFKoD4ZHrnd8Or2OBmy6PaZ5tZRDKR0vhpE7LKcVUQxzH7+iecUYuxNxF394cHvPBkgR
6zetlEB0o4yRMz+2b6O3/WEuqz2aHk/M9bHtvTfA6dnJ/3BBiBZe546SSnpDgesFc8ZVySwQSWqj
Zzt1PKQPr03L85esz3CG8sfOxRyP++1wxgONpjM+PoisDWbx0EL9G9vUdHhTg4uHnlvz7TqM79gO
6DOUSzLah910wNOz94fpf1UoqcvW1r5hZZ7sJjcm1o/JTqpUKK/2v/9JIqqZNRXU4umum5rQ9Oz9
YToH00tGE6argb4xBIO9Nj64OZ349PD+so/kp9Z1o3nSy7eV3xrUtxj0XG9PNZ3a6caGqoaNYL5D
n0CDnlr1+HDyMkVoH+O0sK5yo6Azaz8+4KDAdGf8n6vaOUKqfGe3Y4lC2KqvldwXywT7U4pPefDw
AKT6letV5rlDkVSydsv6V+aHsIbH9jSdv2ZsP9Oz6X/vL6so2ZVqoWwdQ8f2zDBXTThWPA+4CPQt
Qm6zJiTZjcaxQavmeMgaCqYYjHnTAenc0kaqEOeTG5BsJYtA6p/ViFKeHrMypeh2o+NboAOdkNUv
tmPpC7WxcGwgQjcD0FMvQk+O9p0WXLl+cGzbyl+6JIyXSqEjRh8PoA5td5g7Y4eOjn4zHcXbrSDJ
C4KbUCkHMPJt7rr72uowWe2lzdQ6iP+FK6ptjqFN1/92pcdn743ByrVgp98nXZLMC8eVF924NtKj
Z/hE2k4UibG3xgeJxaCUV+Ech+lih3KbUU20/o6kWuIKsTOZWm982VvhSvJQZwJScRGhGIg0Z5Y3
Hih5NLJXfh1168FrsczRk3ptldkhx32XlLglcZ9HuHAbmD/0eT0S3YjuU3aHn4CV4ok9kIrxZH+j
ZLBqA7VmQTAKzcfOotLpynQIXBCkxteKk4LzxC1tIUYsYZIQoNYV6v+FzbRZHifY3TiLHvVIkIqk
B42kX6I2N1EMWdoqxa0dgNe1CQK3o40arrtvvw7Fb1yrOTAFxu3AMdRIQlzFgIRdC2eyGB6/UmGG
Z5qYoZeyOyvGcZ5AcLbD4gweOpUk/8PeeS3JqWzr+olYgTeXu6oo315SmxtC3ZLw3ufT74+sOVf1
1LL78kScGzqBJKEpIDPH+E2lqarAWZhtcq9IomndtISV4VCuhAi/BkEWbJMuLE+t+S5MZT7qbaid
FlngmOamIh0R/Bu+WkqLmVleBCtCdUhopaL15YUVbtLu+lQ/l1551xAX8FUBtF75hTtOeYrq4UVr
w9l3MXUKwlHfDq6NZq1XE4LgSykXhaKEUILUn2bLu+g2uPG26pMb1PEe6day647ZspClfk67Y+Bp
3dE2e/vgDHeOO+EfGkX9uuBb4qP31CFxulTg7T2k9ndnaPptl4BGGNRgM3ToLWOUQ/+y/G9RBXVH
nUZ3VdvLR3dZDHnBgiDLJuv5zMziuZybbyE0YCbbAnyKQ1QbbOQ3WPyZD8kIxzsnnm+SDktZgJsQ
8egd5N3J5+W7a8a6uRJosuDApeVHJpsY8iwlF70xfGn/vtFb9ijtfMoVNdrJ7frylZWl60JWs6/H
ynXZaopSILhUfsClzU/1ZFHV7dS3bPvX5Vi5LU/GQ1yoYBatjxSrO7/MsnozlqiqmrO5eH4nT0W+
pG6Elj6S1cQ5anxMGhIkkJf0VeMsITRlJodj4NWOqJo1e+/hmH8T1YwN45J36KcBHzCMmHjkans9
2dUznm/w0zTScZnpNxHpn6YIdTjeQ7AJm+k05lnzEUzQpMbKeytzvNnLmZhSMNQOZgc9OBCTmKSi
ptNxHITyKPToQ0t2E6o4by3ofGxxxuDOicLmJtAUDUgmXutOE5/FVNpfdWJfe0JM/VYbrOGNXLXc
PxrZ6NvamB2HoAmeaq3/aqOm992M2mgd5wHA/rBqb4sWl8El5PI90stHfMDVc5gtYrdtbB1Qg7J8
ubNFCnnq0+8tLqHbXtjVIQmd4msTiVvZKneNRz22zBssSFFrJy68kjs6V3mN0DZ8GqtGP1pmgNLn
gr9Ue8b1pYq+/uSJ11pDfqIorH5fk4n/NlbRQf4TMypXa2wrjXPV1to9sx9eCMbr965NyqCdF7lE
tQkeHBFrp35a0k7LvyKIKQjPTl9yBRSPM3UagsN99GLh6SCvqp8RoYxQ9EQ6LlvssclBX+4OeQbw
BbFxj9Cgdi6MGQ/2pcnZMffDZOnf5gLgbjmXGF8CmX3NI0ATy31FvJAscGsYx9Zy0qd+mN7kdrDa
1ioPg+lOn3MD+acOr4PlAC0qb91Mrb8SGSwP7dTkyGXa4XcLZdXlB4bqafoxmInDAKLsS5yKR9ng
WFk5iEe3u43myr4F5YkpwXKJllt81dWoZVqYZljE9elRs5Lp8gOq7cmL9PFN2G63xQow2OsIrnwV
enaWrYrI0dbyEeuxx76Tj51s1azVD6LR+qOpzvEpAku8kZdfaAwvdaf8Fpf2WsvVaTvXlXmIsLp+
SEICrICsig/oqEczifTnyRX1lolyeAyTZnoIJ3yGZY0+LJCuV5IXJTZxcpqb+gj8Kn1oFXLDoZqX
H/Fk7gIrnl/6uPD8yKgF4zeio1pp76FJ0GctZ8rnfjuRDH1ltKX7YFjcI9nw9n7uXEKbSztWXPrJ
qAyvmUUkTHEQkJiMIrpvGlRMZY0QSZ1QHYLX1nNwFq3y8cTEQLsjTJxjAMtZkG1dt+XcvYUzCXjk
Yeno3by+U4OoubRBEpdpu+W+idrxNlOlJeeiJA6d4d52qdGTRRsE6Ce3tYxNkpndOQcwgNVgS0Jh
OcvENwBBr+9ZCaK6mOCSt3ZU3Tptg4rw8q94w95uMcaTFdQKrrNDqgi/Ace7oYvAQ2Gp5YywBWbn
fegxWvNsp71J3Q5hfZsk3Di02Qd42aVeX2rRZjJH48Ywx/Im41ybtBm1d+Kal+upVZf0sRLdBkoT
nOMYlFhtmNl7rpxkC5qoDEhBZXdbDY167oOIHLLI9O+D+SwrtPM0rxu1Nm87ba7OYIbsTRd26m3Z
8/MM4BgI3Tc/GJITihw79dEJo4q+TbT7HH2CR8xdx9Wg2fWPNvPwEejN77WRo/Ef00bN83kquEZ/
SGLlm9KFj5fWvOipckvrW6BkGOcZdnpyNMW85WHCfT5yg++Y965k1dQgmZ/3cf1oId+ClEWQ7Y2y
tB5Lm4SGrFKU+OURnP1uOmOyWUiPt7qG2Rw8fsPXhwqN+qy+l1V5e770atN9I7SC+y+vxBFxh+hu
LEnk12rRvoMBXpnLf2wwqV3Zna08aPOs7xk8KTsBoOTJCQlJF4zyf+Aju1G9QXlLFLPYhJtMacPb
yJnMUxe6k49sr/5sCvNW3h5wYt8GtYm/YV5eb6dw0o56XDQAFDCb07FoZmT0LGuKPsCsZ9C0Byxx
MWOdOxxSsLWf+rp/Gp0aIMFyv2fcSmFRzG84+YEvAN19M6phdJ56lRxZ4EQYoaQ38n/xKu9FHXrj
qxMpwxb6fndMUXS60xxlXMeEbT60AWMG/uuamRxwRwGWFP9HOHrDvOuQ/XuKh8XYfakCgmvrkq56
C1S+1ahpjjeOrpSodoKkwGG7e9Fy7SSrEqn7jlEs/WQ+wlYJcODR8MU82IXnPtgCj6GoMsyPPm98
3WuUV1LbAZzNsj0XMLduyWTjvpln3XvuPsx9bvH+AcIcPEe5M3JVP1a1iW95OfTPzTjfyLaiTv2l
oFbzhfyCA4mwn/a9oOt2QgwguGrrYwAeNc2B9uJZYvCFHWHuLIrwLm+R/rm0sVyUXO1DT7lFJWc8
acunSR62HC+rGeEFAvpH9vkvOda/J71/z43/F1nv/y59/v9QbpwJgvHvUuP/k31//57/JTd+OeSP
1Lhr/m3RiQRp6C60SHfRivwjNe66fzPhmBiEhhBHZQku649MuUyHQ5AAg2qAQgOzcs2Uq3/D9BHV
ScapyIgCIv8/Zcp/x67QDCNCLkOFoP6P2LBEq3SzNUxl3+Wdt9WZS6wN2C1KPGLHFW61HCBhWyPX
H7Y5It4ZzCcxBOnm0z37Zwn7f3YZpPoQdQZGs4DU/5quF1rbzAMD5H1N5A+VSN09dUH/7kBT9YoO
w3Pcu+K2Unwm6Cj5k7zeRPpk/Cek3O8UHO4G/FVgLIDzQXZZ/PSfkXKuqSXIzDPOURu8B4PMZHqj
KfpBQSpkcA7jWL6kdnBvxx7mNA1e2mW3rjRMw0RRkN8yhuF2jIv6P4DaNdP8HWHjWXCmIQ2ogM00
xLiW+/cJwjelrVVrTsOYfZgLPGz7cmcm9Z1WRu45dywPMog5bcooUo6NwPXQmSdtMyV8u1c1GvN0
lnbJzIewS9CHx6EqMaqcsgYL0F06Be651eG0WF5+P5boy+Fr/Mcig18PSBaBuGp2Z78YSwsxwmi6
E3U8H2NlfsZFkyh1gDyLESvlDfGQdGWX6k+0Uuyj+WCFjzXy+2tERXczQWiiPaNyCLXilxe4ExFs
hi91kPht1+6dOmOukrU+nGiGp03a3ah5+2NgDmqJEbcPLJ1v1EQ8uWUTbJX5Iwi7tdEm5RbJQic8
BsPY7VwnwzBmHk5hetBctO/ABoBnNLa1Ut86yQ9vTrHyHqMTPqzezqtRYTDqDOEwffwShEOydfse
zzbvhE7/OtH14pxBpgAkmYBRcEgmuyPygGlyaKJiYzMgWqUzWre6s4G7fnAjbZ8xkiXp+WuuMWKE
SEAeP/J+dssPgoz9zRg/5yQGd1PX5xuB9hgAMQzdBGHesTWPnmt0mxhQ1Dhowa6e459FjsvVhNBz
7tW/nIIZkBfe14axZDcJlw31Q/KEVsQ7WLxm3YJ6QYDd2zQAb+5SvDpFhcfahKAeivHz2jIWdkIz
nMPc3LUKLBO7F5i8mGhxNPq9CJq9U6BHqHnWE+Q4e6drCSisKAFFjb9oxWzJysevCL4KKJF17ytT
mB2rqX63NXUbOPeacN5CR+A4hewWjk/BszfF2aYiqblWDPWhm6CcpNlPwusmfS+YnCZH4a41FjOc
EdPRwiEY/xRrOWP9Yo7vEvU9JCi+Tq0NBsorNULdkJmDChNw/DmVhMkqPATb1oPQnRNNIIeSbR0X
HcagmG56xMW2btgb92ZeiE3WRDwVc7SbmqbCH9b+QDXRWs+JBp1iHn9lAIPxE5mDFbEqdwUtIdi0
fc3YIAu7rQF2YZOYlXWD9fjZSokzxzU66xUY0L2XAbPsDWsTEZk5KhYLk/kCoaClqCbj50Xe4ShT
JzHWq8sOxarf5zgTfq5PHXczurPD1oKGXHVHuWkIScYRbWRdLrq++AogL/tURW5Pl+PlEddj5bbr
qiw11iSwCsUsegnWEo8jhj9OjLsDKDlyG1NtwqHLXlRBHeQos2c9Qu/F75Y46RibZXu6VtRGMs9l
4zBAX3bLRYkgCECpZZ1HhogQt7QhR4MnjTzwsvGylLViL3VRtjbMy0HEtP9oSe5FHc6FRicP/XQl
KDvgQIEpbLfEAIkRM8NaDrxemxsS2lxdziO3zvLiZfOOvDBZrOXl8gkBFobpjGljFGMl3s+eOQvB
YR5PJdTexxRfYd3k5QktbJSbsD51EZYhQxLct8GCVVXxmcantJkaomvT8CU22x95fzcEc/INcYxz
kdtH8PDDg1OLb6bR/+qm8QgOl8miRfIzqCLw7Ywo94Yg+sN7gZ8hH3ZC3aF7mzWL/UH4aCo2ZKWY
CcHgJI8Jkd/ENsiDqt5+rrsHPXS93VD0b1nm+U4fAfhoG3MTeVkBYgWXFaR1byM8x89FgXmXe0NG
Ld10Cegdvt+4y3rVz24gjFnYzb4w4nEd6M2ECRtsyUjVnjy41DtEJ2+VKQBJjBe4SSbvCxrmKJC2
H60z+4RTdL8pQJrlFv4mxJoeCtG5K6hE06aKsPGJDcw4cw9ksOrMyiqeq3AziwxUEhmCDs1SdWS2
0EaeSkwu7zEKa9dNPLu+E+eYokcYYVraz5r3F/TOnR1h2x0reFB3P1IntM92bFewdwtSvNEEOBv4
uFgUr3rbFH7jMlEg2rGtMRdUu20On2flVfG8Scvp62yjw24UeoMHKY4EdHDtFFnYmof7UZ+DjW5C
lon7H82Y/zSFeGfuRIC4KR6Vwan3uuLtPdLvYI7i6q7IVJDMYUuUtU/Kk/mL8R6sFGaOZbdADKM5
w2Jh+N5OmME6Ta8tsdTSt236UbXBKCrt+Rirx6nlDQNHsR4IVhMK0OhJc22V2xh61gMIp6DftNm9
qyJWiehRuarQ5I3L4ZjX2slq6h+aW6E8Ebp+Vd/VU/QSg+fd6E4SoVvcH3On950xNp7t/nsBBPuk
uTgfxVk97ZUSZ6reaHaDidelFuPmpdnvel7/tKcJC7i4rv1ZmMVa8bA/LCs8tqebzDXFGs3MW0R4
sTFeEOu6gsUzqTJM0IIVDMV+pdfGtsWuQINmN1v6Oc1mRDnKvYrkzYYH+84GFL5VQ8abph1Wex18
o66fauJkPhlJB3pCqtyTKvYOw/RTODxeKazhbRKIbdiNb3Gpio0Z4g8WRg9ZnH/wih8Gy0ZS0smh
u1pngWNpSkwy6IqE0VzzxbZuy+ERmovvTt1jHuBSpyCl2wzV3oiK3Ef9FGCfG70YMRa0qpti24Z9
pVfdJYgI8EuUJ0Ong5qwFvNqlyAbwTLAjvdq5PDuoVpkG49zPryMgeFCE5ywBw2SrTKEzlq37xn5
HVIrbNdEafdKTOrWDqfHRjPzrY3Nx5Ir+4V0Oc+WfppKY6C3zD1/qMBE5+rbVMNxirzqwyxSPF4d
yIB5D5+7junF0vhp9HDt8oDmbfpd4dzYRnU3Ja1JD4X9GaF+pHh6HBMxkO6Oeu7eu059D/0qBo5v
EjBLX6dgvFFN51uT8mnycp5D5Vi7ZMXEON9PcciNnnFJalrf0oYvpTuEPB6RyWcSNq2reI9O4PJ1
icAuRBAmJseiE27mdkOscF85wzMaDtbaxfkwMYjVDojXrdJ62xXY4dVGfLZtsgfhBl5ZjJftfLa7
CWllRT0XmbGZxNCfGvGoI0GMbRD22lAx3yoDWTJ4C99I8uBfbRpfHHFyY8RX4iC6IfH1ZU7sn+6k
fp8nCD3BVyWyj6nZQNFCcTApn0IP8zQoS2fTc38UY/5cVohAkx3zTnMPgt3OnWhjhF52u8Co1BUQ
0fw2q20DbSns2OQeue2yW8tsxlL27Kdl9aWmk9lng/4iawUVwYaqB64x0/3fKgxidgRcsaTW3Y5/
BlP5JM2LW1FAhtcR10JLfL7VK6wxdSX30TPFMc/2coF+LbaaTcXbqGNb79QeboB10K7MFPkOV/0F
8KKs57MR1g70+uKxMYNDXmHHZBCdvQETgSuv0KatgypVXGX62hZ0aYFaTTea8iV2HP7D5UpMSO2+
DVeKr6rD7RsWX2oDFaJGDOiMWxb36VfYiQLPUYROYM4SwRqG72NEkktPvYwffiZu6ILy753ZuAEi
kQr+lkiSdHqX33iV/pMwTrRWlOlNqYxNBlqZKVJwTrrJPeRqeQ/Uzd4VBV5zFuZruugBUqaxj+rY
L0Wx71IHu03RhXcjKUg6vc641cCEE/HJbt7VZLH/ECX6JvZBJ1pzHK3mxhy19jac1Acr09WDk7f5
uZrzTeQqLcc67SpafsQqzxNMYqMAQx1YN3Orkearh2BdWcNhbhwfsXbQsBOu0WbtHbq66m/TdkSJ
BJ00ME23bRLVe22u3+MyPBpm0J28ZEyP3iQeg36cb83JNY+as4Ca0l+RzTWidGK0A6fJebJSYZW3
o5XeaJhRMGi0ntFRKSFmqnCSANx2ziuC/dM6a6aKud883OqNehhSdU+/NB8jt7jLUi04FIyF16ZV
BBuyUxZ9v+LXxBVJqpY1cglkVTp3vM2WhaeP2E0vcALcnQtbfEOWAVI0GbGQyVDHyMV0IIupQdDd
ukb8jsjKuAcwm56Rwt3kmVodAl38QBPh3vLeMXPksSARuSyGZaGUzqyhT0ax7TVSjXKXEfYunRQz
uog4v1lxQ5ZSEtnlYh7+57rcaFYNsDJZjOR+JvJ/1P+nG1vT26QG3mwIxY/wXrnbdgvyTJZiHaDa
v1yVVZrlCFm6HisPu67K0rUp15z5VmWESmXLsgG+35bSuQfM5JqjAgX5KEvXxb/c5hZmz6DxnxxX
8+GPFywUwGqcZpcacuHoSa2ur+toceBQvuy+tHU9Vax7f9aEeZUHg3mo0c5UneRS/9P+ECQ7ppFL
K6krUbR/P59sr+/7t8YlH8pQaRFZXs6Z1hYfalnMhvYAiudrtigj6UFyFynIeBaGkT3biJN0Zajd
jQpw8y6d27XOFI9UIgx4FCKGVeG4waYmLe+DWbtHJ+MBZx/gAIKnus/6VWQTC2/MMr+ZewePhS4n
2+UG2Y2Lws4W+AtSQcvqEGoZ0GnMAZUI6duxGs2z1hrfElS7d8JgKp1Zge6b2WhVoA76PSFy7bAQ
w87oY8D4aJ6chdxnJvse9bZzEsXZuYqaaK0a9GEIN6+hNwwHt1HvEsfrOoZFc3OeuTxyTXq0nb29
04nyPA/Hr0zExXkoFHGWJbfRGSSU8J7lqrbsLchWtQwecEuP/6gWCg3pbOz9tqmG4Xdh7OqKKxHW
a5zbxU0SoxAnZuYE7cJIqIhok9vRfBXdjwaa5nHIgvDcLQuN2EWbhNYhqYHdRKNpb7JbU1FudGYq
xxClmpMe3md0bNwjGmQ6T/ciyunM13Q6W2H+pdYth+8yNZpQGc+pAp8cmx7dBxFIHMipcqbpGRGG
Kf7m6E11I1wXFacAwIBnFh8RZkoorler1mvrPYqdp1yooGOGbh/UTPBEhp1p6eEsbk+YvSJrBcgh
fmk8O96FbqmeVXykzrIkF8Y4q2fPAg+iZ8A4EgueKwMqCBXnQaQ6SbzloGr2ii2RGcDhrmed6hzJ
GMvQ9kUDvm/WnA+P6fzZsRrUHMPOV5a1fnlSmF8QpzRhfV63RQ6hFVRT2mF8hBXHSUVunuWDJUsu
1IJtYuk4Q+IHxcCxO6PHY++tXBhnb+yMXZokz8Iz9WqDiFJqaWdn2SX322NlYAa8bxYcVASOnpjt
6IdqKQ5WxYxyLruTok6oOlmKw1DLDc46evlnWcpC12UCFhe+l1fo/JydDjO7uLeUemNYSuEDgsBp
UT829ih8vR4xnE2H9GzrWXo2nO61MXYebmRQW9gaKrhQ2waof4WE9tn5e01ZXS6QE0vs/ovpWelW
YligIZMUnumJ4+W+Rznm0O5yD7vloZcL5MXKtdBw7p3BnbWRlZwkoEkulDiEtvqpqCgJ3BGbGW6v
iG9yR78cUiY96ZVPFWVRtib3y1VHxbrVSA3tcprrjutZ5bbrqtfVxsbsGfJet11PWhkIHMz9s5Gg
Orlqojj9dOlVaDMFML3tp+u7nvF6ebW88mwgchaQC8DBGzTXyAPnmYl6wXZdz/3b5f22Kg/97TLk
sbIemKCPrK9vmiTId8gCqfS7OJVYVfqU9s7ZHdEVzRuM6U0YhvclAee9URkvZWYqt8BoC7gihCcZ
pcfr1I2sGy/C6t5pxW1QeicDu1C1UTB+S/HLnBoLK3Mr0444qOhngo+4hQgbLApe0524C5Pn1lF3
AC/Ijzbph84414f+5fGRYqZrlm6wMng7zZB4bIWi+zK3jN5cnODLDNqNaF0UdCdxBHOk7nJYIQ2+
Fjuzd18DkJQ3dp+9RMxrYCHzpIzGFK9Z1Q9cRIcxFMNBiyT6FrpVKObwRgTFW67O7vMQfa+6aFuB
Eb5z0JFrhmavNMNDMfCd7bq4hxNEmFu4Q+MDanyNFLplMYrxDCRDXY298dGb7Qd2peZhiXSQdUbY
rJuS284cXtvAvc8t1d4q5jqM0vaUaM/M06xTNme+4Dfy+Z4HflAiSKC45Ctrd1wrfeQ9BbgErMtk
5kuUuyQAJjSw5vDEuD/AT6/aCoiGq9oz363K60gjj4eCV/ARqVCLCHqUr+EKpjtPLa1NNbZ3CEhB
xcLwh2jwBNK9jXeit3HGaNX3sW7fOtXSwFswsRAmDhHVi0isEBvqdAc32d7ykNyMIySa0kzuh1qP
t06D5vEQ3A4zAR1eZeiEezGZKVMwBYkNu3lAPtVvUpBr/aAUe+B448kSwJ7iO6Wz212iBkcy4GhT
urPYlKUeEYDuq9vuLQls9zwOc/Wl8+JjR/jyUA4wJ/siQOO26K1tpGjJWqtK+87smS6VuYmtcCu2
w1BZjyiZYI7Y2auhtG9GZdRglAe7pMqNY1ZAKYKS5Z7qePypF+EMRTk0fMbZ837qxt4ndoYHJ0QN
FFl1ZdUGfbuwReF7Qab3g0jxU6bEvpqr3TpxFG0bmUO9IkamPFQ44va4JZNpzolyoI2+tvpKBx6U
/DKBytypZokvEk8UkTag5vG4y+aw33rKMG6jTLH8PhvfmfWtkskWfoqQ3AHb3EOq2d0lLff/k77/
gRCteea/5UP/TxOLsvhr0lce8icfWvX+pmKrYsLFN0msLnT8P/nQUKVdDY40ghcIcSHse036Ogs9
Grl2ONCO9tekr/Y3AwUtBAZw/rA85G//L+xoe2F3/4UdjZuvg6YansYq3G1kV/+aTsxrp20RIB3P
rpH1fkwSDJAri2lKxVGLdYGQJL1OUYWwMOVIvgaKHMiJiSwti1hkz0UH4mLsmMkjdxXBQUVe7yhL
KIIzb44uqQCZTJBhebkYZW5hWVzi73KjUqf9ztOjgzolzKvL+UuEcS/qSwsAVAU51rxgXHvWow7A
7oKsvi6Q2SdaKtdzgVgWqqH5s0xbyHi/DO9HRAfJTF5yATUD0JDELlxe4PdyodfdJAi7ARWG6vtn
Uc+8jzjVW3DiBfBouXsY+K5faiY5TKN1libzJhmIldhybiXvmDvjv5eaoZ/I+ZDcdtk91vmphfWi
bscFaCuZVN2Cu72uZlmULcYzUXKEZp4u6N9C4H+8lsVwBIF32SrXlQXti1e4ybSu6NW1KIdoAUAW
x+uCjwP/fghAAWTucucRXmGMm1fYvi18Q0lRc3AkUf0Ld9AKbQ1JvIWAKCtca42N/s0aDcUXpBgB
8NWPkjcleZRXBpUsxYSN1fVvu9V4CjTfgO6xVSbti2RDph2uqBcWpVzXBzlJXTDkl13X1j+1eaFh
zl0NM2vONWRQmDlfqZqVJHFdN8o2PjV3rSnr5NWOKE+B9Va6zIRc7VJSzE4/GlaWG+gfU5S75aIW
2RvQj8C/bpKlfGlAlqxamfdFmVxqXLdfD7BacMpltZMsun9BoLsy7CTh7kKwkxv/6fqnpmQxrsdk
m1rGl+shsnRp5/cmPhH3/qGYeD8M0FKH38/wqaUMZvFKG3TnM6fw0/5/c/H/cDp5mutFfzr0U9Xr
/mv1T7s/FeX+GAcbHBcMKExpiaTAn3zb6zP+L7f9zqm9HBJjOrL/7RhJypSvzic+6PUMuF81UD0l
k9ZsJmbAfNKux1wr/tas3GGLhyiurIPkfknmkyxpBZ+S6+pv20ozIHskaVP/UJRV5S5ZkgvZkGzy
ugrIjC+gXM9lc7JojR0t//uzy4pyIU+DFeIXpR+zrdykp7U9vMjikEQD7NAWXiHa9juDcOHRXjhP
M8picEV7KJxyo1y4mU6K6bJL1pJbO8mUckTNrLtOxo3ZYShxkruEmtjiSRZV4hPl3admdDtUYR5p
6SZPsapZXdpSDHMFebmJg22K0cVmhofvKSjzVfb0HjfmayAqUixQCIso19dT07+nmZmsG7ya/SH7
gWDpOid36+dKm6/nqtDXoxufSPZWfjaBQyfl1+dHwwk/DDEM24J+ZzWmWr4OGiLzn67y8m/MJsmn
OW4iX7L3JHlS0qvk6r/cdmE2yaT4spBHyGMvRywdxW+rHnEletFlz7Xp/6IZgNX9DgfuC7vQk52t
bPpSlG3JZlDBBxDw768kV2Mw23O5+3w1LWGeSp8fK9mTXflZsiRJe9dtv9e57r7WuW6rapuA0nVd
0r5+a1YfGvpPufHaxP/tNLLZ61muzchtXpK+5il8p9kjlCqZU/rfOVRym1ylB7/XEox0ZA25fZCK
Bp+Kclci+1V5zG8tytVc9pBy96WmPEgs3agsXfZf1y9tRtBiZsXKNkLrmAWVCi4KaAtq6ls0Kfkp
EvkZFcWB0cUMcKlHzrJVRwxAGZESl2w3pZuqG4HJDwIodrVOouo9HWyxcVF/WtM/d74NUhn2X+rt
mjw/t55X7gf4GFL+DDu6N8MMQaTFx7R9sxX3oIG6P4xuzUw40FF9dR5nSBgEVZVopbT1RyIGZlqM
MPwYlQ07JOZQB7sW175j2mTaKovrL6qjmLuobF+yWPlIcia+WBh5fomgejiCZE90sUa6v/UKUGMx
8QhrdNZWGhFaAFOQqSDNs2IAlT37bR19pEGJqs5o741W6dZWMPoROm95NbX+MGXjtoAaAhz8PlDi
XylGFHjolKi52/aZKQI0nxGlFfSkETt1kY4h43uKGZFvXNs5kpN6zo10wjyqOqtzC8at7jaz7TwN
Y5ngCrz1EHpb12XtARlTJt/EOnM9jPEjwkXKxg6zdPV9KEoSWn0Z8UuqTOlRRDnHoyCmE38nCG34
2viqtk99WN3XJgSCGn1aNfcrZ/nOWdFONAbxlxmvnjRW043lBvmqDxK8j8W0dh6Iw+1ru2+Out7o
a6NDaaXHIr0cgdG4XajwWQyM1RwZD7rxIxs844gq2PA1cwjhpNH8mHf2uYjrV8sKkIcn5tPPD2Ee
HhO9OiXV9KtC3/uo1E2wsipAaNaIPJzWtcC2IgzkgiKKDx1cLYa6zQ1TdRjTfFRr1ShQHm3XORrX
5ND0fk1q9CMBRbnSW909o/AL5aEON5aHcB/CSK9DRDa7ycliMx+vzcbdVFW30wD6mKHl+MaaeCNj
fyuutn3Mv2WL8QCZ7rVA4+hu6Cvx0L+4T+rUDzsYcqgatspPBbxSXaDGE6nfSk+UO3x2V1kYIUYj
jHsD+dWyQI+8cqAJVt66syZzrWHNg8cr3niLihCpuBrRYQOdVBSGaqk1tKgO1W7jbKAcbhRkhjfB
onG8aBQZXvcapvB0icWjxwbNJk/vBhVdI3QDrTtLO0Xlelh0jyqjs09uiA6It7hFVD/gFgXb0cu2
WV4BJV30kzqElDwElQqElaw+0LYATXbCjxZBJ3NRYPLS+zoBdWkBWVvbixIRFPQc8njlbfIgjjfQ
3AU3jpmNaQNhcRetJwAtj5hkkENYdKDMRREqGV87MT3YBIn8NhZ0lTqQuuWIedGTihCWKsr2vliU
plwkp2KkpzokqHLej3bRpAoQp2qT5KFn4A83LXNP9qJgBdt9lS6aVp5uHmscJk96kmBPUzNZM5HA
mhYtrGA0s7UVztX9VNgHxNDnfZN56qZyjfU0Zf1DxVu17uMcDc2ujNaWFuf3QPgwWcaXYZ3P7lex
qHOhWQ8GYlHscqR2FyJe+qLmVSfdU2Og7yXEEftcwlbzov2lLSpgPUPoetEFU91jHkXWbjKy+wlN
I34kc/ZhmHwlvFhsGzHvhzEtDxOCY3gXakswr/UryFoiGb6bCN1ho4YEKRgOsS4X7TLglkiBNr6F
qBlOYNNWTxeb2b76qvSLqG9nmOegxjkR7obBYMQ22oLvabXQg1FOsxsaiBd5opDAfWvWW809Yctb
H6wGWX5r2MwWnwSrQVELkbXnUkU0YCT8jrI8umNme1OPnongQlcD5ASvJwpEllVteuk66DxWMu4r
ftwVUgk/gZn/LMroBnbH3k6mp6AAjBJU1g526SlTamdbaWQrOsUAslJ2X0ocHTeIHjUrVcmiXWcY
/0veee04rm1Z9otYoDevIikTCpnw5oWIzIikJzc3Pb++B3WqKm9doIHufm0cQCdlwkkk99przTnm
02BoePpS7wB9gkmHMs3XMUMig1J5N6De3CRJgdWmtNyNqM3Etx2xxZ7Vb6Gh7mIGik0znSPDfkel
pvk4n2n8esSb1MtHQOLSY+OIV86+lQ/LnGr01CoouNd50bYeTfaj2FH9eImPmd6gOMVBrM4VWNAy
fkk5TXe98aXVyCzGbmp8rWF4T+PpaQLJFDhDAmaqQ66UgQfD43efxxqcTMqyzhtAI356RVSR+QTa
sTNXsSvmGE2WTwZhmht6uqT1VDmpZioMF6+znnCPD4OrH1HKNQ0sSk4wzjQGhFk6kzri+M3qsGxL
7wjKAZoqqOowJgZ3QbecCs7JMWJQWjWo4Sfr6vbdGccgeA2HY2/Me5w5bX7IuzdJFeWzNKoRlzv8
2Z9sEBBHIHP2Os/b1ivp1LIFiq4cSVknsxS/onmQahb0+txeczclJcrMHnD2BFztMgaWZACkdQLU
YSqCPnZUf1z732aancCJ1vDV/R5QpN875m4eotfFnmsfQMLrrKsL81qI/gXEv26OvmRvHQe9qoIx
Z1pV5fZPKQslcKY59TlT6D+zE9jEQsemn2qoyVIZFs5RtxMVbWnEAHrytG2XNHmYaQTTIcP8aFxE
e55cs05cHpJCdfezQwTVVNUfdNTKwzJQEfV2ulUs+2Ua5q2tlS/IxhBAu2siEJ+w0xYj0q3lvnGx
/2MPe8YFKTe9AfPEM5Jz7tYj/Wcr3zRaGoGrq1apbBzC777IR7XTpzOTpq2Tof+tOTecPBoZtNES
7oavoQd0EGEQIM71ajhFzHKjWxzQKkicrqL9rt+N2EcZAK6otyx9jUi5hmOrnJ3e/GUO0zbRlvhO
Bd3HkeFtTF2V22XGSCqVYmemQLzs+T5a32mhDee6ctgsCa58Y0f/vRvDypXuxnDTb6ERAzObFAot
4kLEBDAIZC0kRFmPnI1B7PqsImhGC3uux3fkYW2TVhtPVZYicbT0PjRR0PSJaoexIeDBqPVTS+XQ
NLYMuq67ekZDlNZg+EWni4tl66+oXo51tJvsXud6RkaHs5rSenVTNlhuc+2eF/GxGQ+TpRX+Usb3
qT78EnT5TZVREN7w2cerA8khau41PXk0p2LgGO22Y5Z859OrjWhn1qc/xagASnYUfVPFGkE6aF8N
M3cgQGMrL1Hg+tMfCKeQExsAULpjvrgeESKGikVycBUGUYq2aXB4QBPKPOYYCgj0vIoODSW0Kut7
4ucqzBFmu4cgWDhuvXEU49AniBx6JDb8RH/pQQWnmChIpDXUQ+NM24Wgpz3XuLDE23pCEIu8cfjd
4+Qxcw0vtcsblxTpNkOeTeXTH5vEtu+ixj42Yk9iRHrwDDWIW4SJo3bsPHDWrdr4RUb6op4rvocg
bsf2Aafg51g3xqXV1ktnATkagWhQ9sPvSmUybSc+7zgqo9h9Bi4j2Nbt6lbsZqbmxAyVj5MJP0Cp
xCk21Ed9LPuAMLYnCzZw3A4ILQWwTqyDRYYMwp0S/V4xm1BN9X6flFO4NBOX5iRLjniUz6QsztOi
4JLX3mWaeBsuhoS75+KedZByy3Z5uyEq97UHn51CAbiwWO0o5q5pPF+zwAu2zbhaez+HDiOjNWxj
A663ZtSPpeemu6IrIyaZkHSKZQ7weCJsjRZn06fZEqqDfslseWXO3m3J6T70uZOdRDacrfRbuvqZ
sAn7zagczKh3AlVnOOX0upfsZ14MYtkG8jiYlSehay0co0y6FcekYwKnjRJNgSIcJSRWalhqR42T
L0WJmeZUJg+aPsK9i/QzfkgIpZ2k0x1BsM8U29igUg87raDTMGaCLJv8iCs33jlyCcd4PkUyUbdV
XLwl/RLvKrnkm579D5IP8dKhXdbN3Of0ojrQeisoRtodU7cgLQWhOqfPalzbQRWNf3TQG443aAdt
Hv7Y8QvteAbC7fxnLCfj1UqaHqWlWAvLyQhHDT9tVrf9yQ4yIpn2sRkdcavei25YQq9XYxKrTqU3
/vLmNj/ROdqmloEwbmpPiFobXy7xIaYrDLmy+oKZgganW1bYxcFOIpz8Xv8jXDEz0AuBmvwe9Fxu
GtOmaeOlyFqZxCVF9w2e1cMEP5GCZm1SRpeBZrMoCMf7bStlgIoAIbB3spx2Z0qbFRPMRhvFD64k
Ok+P9qPmvpgt6OKBTfLGcOZnGTV8qv2LFk98swiVrKPm50Ft77lKp34DkskF5lno9Wtt6rAAxnv0
b5sZd6g/u9VG5OlyrpWiJSVAS/YD/sKdBIWfKtqDXIXPamZFV4Fx6NpER/IXHWVze2ichoOcitVg
uz6mOTGyoXosD3+/KtajhJH+xER7/U63J0Dtf3WLMwVNNwRGsjy1zVNbmON11MZd50h9w0YV6eKS
D5vRzjJ+kfhFEQN874gqNmt6JxyGjhTZ9GiZa+qBVeAvnuKHbr2Zi+hBjr5LDOHRiUfk9OsN7cjF
z+aFSrR2/vMxQO4NY+eEU/6/H+sXl9A2hvq7xlU2tWtFl3K9IU3XE8iUOSl0Lvmd3E6ljo9pvaE1
K/bujCjrdrftEuOaSSe9jExrbw/9fby1zbeU8vfu9pCrNPq1ENMSlKRJhX9fa+iRfsBIFbNe8ZJ/
ecLYuAbly99HkPUgoJ/r6nD7wbcnomQkgKIzAjanIrg9dHsyzdXqiETz6faQVYr07DhKMMZJ9kCv
sEZUee00LX0Ym+nPlDbRYdSMkzpnxf00Web1dgMsoffrzra2fx8r5qHaRbj+/RzPpAKEJDLuDaW/
y63cuqbrze3FfWozzoGzMYPH9avKxRgWFbGNukK4iLjW+7JeaQyIPnxxu58IS6cymq5Z666I+iWE
ujZy7vTmlcgG5WKlsEe5Y7C9+eeGrdVHnyXL3Qx0QaEKgV0/VQaLw3+/bsrxlaMDbP75Rg7C3CNC
2mspyv4samAdtyMKVxuKKLgbXlG2l5rq68FU3PhBR7Etong63l52u7GbmoQxtxL7293bazUXV6nV
ACO8fdXtMX2GJaXU+QnqzeR7auyhbzO8K7rR5c4w+s84kt719jgI1+FiwxqLMlfl71hfFvXzQTh6
AuOfr2QXeFVTzaBtw/FXz2m3V2LPvuJvda6iSppQS9wlYI/lXG9PaF3WHlSx+sXW192eiHPVPKPq
9o0s7xQK/6TbtiXOvwHzJaYR6/7va5OmwcGSt86u0BtcjDOmwkWJkgdRkeY3mXMeGk5UQWntmmhL
XnHvA/FKH/r1xuza7kBPqdok06T+P2DV/7+0juuqyuD/f49VxwYPJeR/ygj++Zr/Mo+r/8H8EDWC
o+oYf00DW/R/mcet/1g568j/HQIHnP9pHv9Xs7hhOabtWSgRNMvV/290A6RnrTbsf6GqA1H0bP5D
iYRqQLfsVVfwLzZkT68rAsPdgqhW8VNnQMAXqDxL8wdj9d2k6N2m9/KXtGzuVQNqZJKkMEcR1ReL
dmLxJpSYyjl2W8LGplz1C2xeGzQK2KoARbCHdUJOMX2jtaTitKNG+CuIg7E1NnFtqD69lz9yBgeN
of1nAYum2ooHPXpI6aWtI+/MPCtMqYIWjwHoIY3FwFHokyTN2cizNizKQtASo/G1tHMSGr17LvX3
EZFQZxWZT6+I3kRtXYWi0NPNrQxRY3tSaOZspbIUtEdo91hZxhgnMg7FUOIAz/XvarLiFdNNIbRi
00af/dS5qs1PTWLWtnFS8Ky9nTP1i8veFYkTvRMUAPQSDvPCFinPemxZtXsZuPimue34DrwKdx5H
gOEgllPTbEhASJ6GcnhoItqVrlezZUnd316pBro1JVScURl0LQaUoaG9RnLZY5Y3/Lripe+G8X7J
jzWhhQdzHFD2s5UHcQGRTZhkoM+j6Xtxz7RsSR4Ue/4xC+U+i21CoZCglvEWd/guRe05ZiiokkKM
JKyis8RpNhcPua0erKVBhKSxXs7uFQnqq5t4qMQR0qPwk74W10Mou4a4WJWNQlNofi9BsTl2Ym9K
Ct6Zidlm0t3vckjPMlf+6HCwOgVsdLYz9GRnLdZvjyoLZdZbFdNsqO1d3EPsoojwlU5ciOMBHiOv
Tt+9RYhshVf5aRfFgHDJQCdJS/rNZAd12j8shPwArHYfx878UNBL0Cjb0ffSu/5bOBnVVv9GK/t+
1hcwgI67UnNAynt6WLbmvakAPG/EtIlmuVOwZ3fFvHWdxORQQFdniG/AKMzA0nAgkWNjzMu+RjGN
OJI20QSnb9b1+Dh6mDhczQu6IpFbF/n7sCIF7aJ9siJaTer827B+5j7SSchQvdBYyDuKTTXMI971
Iu9Q1mndqcX9cJhNTploLE5ga7KtvrZkywrtdAvsYOPW82OWILVIW+xOvZodzHzun9gful3e7Lmw
lBQVR/oH3bFLp+dpiIs9Slp89cwt5hgSt+VF70tHCiaVMX7zdls0CfUPYJmjq0+nYTAsP6VEtrKW
JcfJyKmLzYnoNBR+NAww0vekpPNhNlHi7DBdouXsOXznqH1u3T45JEkzE+M6fmr+HJGHmHcY57Jm
4nJh19T4hLawzh3mWXvJJiJ2Usfe0oi8a8ZluQfqdF/XHLuTZi87bVg+ksErw2SQ91Vnwt+OJjBB
4+x3pnmpc1f6zjiiMJ/6fRSlShhxldr2TvswuCnGmW9lFnh11uaTpk82uzkiQOk9hdjf7GPVrX+0
mK5ulY1bdjcDLWASzUpomIrt7qwi8XajpimB2reurydQ0c28AdyoGcuzQVqU4SW/UoUZBJb5p2lG
7merKqwZr7iTjiUI5h0anjNacgTy49hZCnujqNnaznuOzudsiT7AfMQCnlpEQsS/sUAOO/KsX0eZ
2vuaDfgmYU3fNHFPT3kcPHoQmh647egCAW38uaxdCD4UaoCA6mDSxUfRO9bWVMz+WAgSrmodcdNv
cynTZ4uU0kVjk2KPA/QPrVP3Jum8oeVqWPZL535USLuxF8LWRJx3vpIfFec4NEj7y+U7cqTESmQP
oRg86ICDw1eT/YAWQe5HFaP9oCZcLO3XzjScoORCMzQ6gmodkmaXyEdsH4c496ZQhVLNTs0uAtbC
Y9tU9KNF0lxsqe3buHoxmFdjn0AzYE/1sZ5b6K7pJwtoyUgiekzHlYnpTA8qg7JkIbY0tyd5P5q0
vFFh2Ngqq/K1q6ovR51OGVSri+ayoLhe9LvMmKCpkrTWSiYnLfmlZBXy0nYRoW2B1nI17UVvs9dS
KphZq/TYc/Azr2CA6KljEZaquLgcBro9EGpHk8AzLG1PfNMMUr/CDGG5cFfm/ugCUtj2OKeAfxKq
lyYfissmZs7cu2RWza03NPDRPBeFdjt9JE5fn9nZvQ5zdzd6qUPPl+JYZIDdLM1NAyyBj9bSgleI
1YvmNY8JLV/fs9vx3ST8/GxK53GoLXRoDJ53WhJpbFrHJNBcSRgz85aXWlGvblOSgJBjDo8nKAjC
Q4KbLUnQpcP0ngjtxILWkhlopHeMSqp6KcI5N7W9gtsQnCvviJ5MWPqiducOVXsBWqdHFTi/ltlu
FdXnIrO+mOsQvusWYW908sMaaTBAGlCDtVcGynu87+M2uUQxXsdYACCwBqzOVv2LtcZ+W2ijzfpz
QdDTkdDEKqx072kgnRn6vXzLl+I3PBfvLiGnNuBY2i/usrXXGBPYWhuixHdSdb4R5KAMtu13qHPe
RhPZmWY+gjwYmsuwSwyE67AgMTq0pl+LeTmKPjSgwj1WA10wRIIXF5BmYHgT2dZaA9iSxRjPen52
M/OUlI13x6VapxKZzyqAqYBWm/KsckIjjus+MmJBtjDzqp2s8y5QXRyQZhFDoFwsK/AKRw3jJVF8
0j5oCQsSqC1RMUyzZXLHdmptEBxmfCQnmAM7u1bY8VnuQS6sgYNSpGe7YBo7yAMJfZQZLCc6uWZH
QlCpTj4QqNCOqcWH6hX9WV9vZrX5cgk016LtBI8noGWCg5CTVpS0XG0TSxNEXo1+V0sz12X2KtFW
+7WnT/4iymJXaNlnrgxcSLDosS5Bm53c3vaF57ANyROwprYdKtHC1VJV1R1/Q/IWy9c++dN2n7PX
rfCydtgB13yOCSR9zPBGklodTtIpd3VNIaEnWkzjeiFihEDQvbBjMlpKGDOOe6gqIkjsycD2Rimi
qu25HzLi7eZJwddcnzTCL33pdPJIhuRXgpXA15L1M84LcWyyp1QWx4jNF31uezoAUyhCRxVaaIvi
h3LIu+vixgzUnLl0LnkzCHxj0Vz0N7wQQ9gZVhcYigJ0teNUMfVAyk73O0Rbok6RsjbDHx0om4YL
t62Sd7OctJ1d0osi7ZAaa+3mRRHxbqmFz526MtqnJnW2Ho1MmXUhg7xqf6N2jfeGsHDFo3QfS5r3
xI40vTWeivFM9ud8VCPYZOshI/LCepiGx7HBJtwsjG0Uu9NDu1oasn7mO4+DDa9cChBeB607D8Vj
b9gkb1PdQhiJT5NDqa9P0W4U5O30sNl28zoNwzqxFXNVXSWYhdxtH1Sna6+lLuvLKjddaBOC4jPI
LeqfczvFlDcLvO1a0/gmEo+9VhgMHb2M+UHRYSIjown2h93tgPoafoupmENA/IJ4QFyM7dW4AngZ
YBn27UkeIqjSL579WSYd426hF3unbCrysqf3uBb3c6l/WIRrbLqR4Xo20LfKu9J31dj1FbhOiO+x
mLpRZYZCsBRManmnudOlLitgz7PzOcx0gkWZ75Ylu8RdQe9hHY3J3vC96jBRuihlFlap95hXw5dd
twd4N/SU5+ikiOpHLc1907w2mvfLkTCZwDD3un7IR/dXNNY/Ca0yK/0AlHyZmb0sA9uNV+lZg19/
DYBUlbjbTbFxSC3vRG16UVTzEEWEqkQdTuoR4xddeUfw5+XKyaCIYFhEE6r0MdRv54SeXer6jUKC
yiK3ndLtOgy7FnY0pc70QAVnsCG7MtCWZW8a1qPRRs3GdZxfVo8UJ+7up1Y88UKl8AfahLp4cEv7
mZUW1mn6M1B4I7pt32gubWWfdMx7o2PejIgZXYd3HIZQ1WsnEQireV1fpIv8xbVWvh3hBCB0GzO6
d0sLGrSpPdWaPLa6iSkf8BCdH1ZagynvbJPl595xZP/pLYJW49Tyc7EqDkBVdzCi1H4rCizci7l1
pXjCKPo2yofYEzuO2OcuvlqZipnHDWE9H6FP/tjmFdwqxkF+YGO0e21g3+Etx4nnrWGWDGuK18Yk
6Zafy4Z6g2DpRBLWi65Ada3NJ0nCjD+Q6TUqK2ZgIl9dHQXhWDBYFDcKy9EGctOo6wlywozPLHQM
6CQfnTQ91CCQ3SSu0AKm+7lDfy7rQ2xM3aZRa8DKprezcKQsenoqzbb7DYc8dV2L4YX3Okw6Fivt
g0SI91G2sBS35BV8kXTyogDUyWEraPpZKGI7W9NvxZsPi/tJyukbuIVoI0oGiuljhWKqNaezQnWd
lst9IsXOnJI9ktRfxqxeB10/2ZKCBTE7oGpars7MKNR9tlFU7ZRYf3fi/GTPxj7T+kM5PJXonXpK
HAr6EGqmgaVqhofkhFZVPFtDsU8uQrK4LpHYKqUxB2BSaHGtARoSkiimPepbwRRKuJwNzNQieVX0
kkk/RwrTbV+qaw6oQ959O3mX8g7nZejUTO/Y6R2Ra3i+7dfWqGyURwQynJD6tcG3CI0K6Ece9vTz
kASFQoPZ0MSPbcnYX3TTU+nOzy5KNadN7+y832advrV660ze5h2G6YvazBdJn88vauB4bnNunGaj
sQ0j9imwFeue1sDbYDnrCBh/rFVx5KBiatOPPlcfsmqDk70MHBtut2U+2kr/3ubDkYsQY/j2B+wf
HfvqhFnVz5bpzF96b7JKI61CDlF+zo5xVmb3bJnNTz49S628QhOja6DfxQQmq+1OwkSgvtuYrvst
Ylybhnb1mLUoTntInSzwSg8cFUfaABF3arYZCoGNyppalOVVTu4+NswgrnLXj8wZnVN2u2RWhblt
i/YD8Oej7SZfaheQjLzPrP53HcNUsI2nEvDTPNa/yBTczgrw+KF9dnUyJYqLB1VHdSI8Vmy3yvLg
mukDQWPrhvGF3/WPZkUPUOI/ae567vRJJ/I15gK35HZI3/pZFvZ3d1OF6O7LUJovqtZ+e53yK+7m
O9AGENbUgHndPYqtwB5/x3q5UzNIOuvBElvZR52Jr86leEvMMyk4BJis+ObnqmXMaahyJ3GwT018
MoHUiAFK9DR6GLdxYW/msn2oDSzz2vxHHznlnEZ9qyb6U7m1VsCEdTkaKhX3pSTUuVW880QxUQnr
fSTcjGuaH4vh3BPHJoqPXsm+Kj4ThBxPSOzCzFPvZxP9TORVux6I8Sq5K63+iQsGagNFCxSxMmSQ
tNFOt4F0lGUCTrDZExcLpstAt0N2nhc9ZeB6MpNIa30+9aAfEnsKrf46edUGuplgkuZkbIl08GtF
CiywCZO8oYegtMQKfDpnGo0XV6caoTk2sPowz5nT17QRKGAKppt5n3xLPd42g3lJc1ivbHgDq5is
zUy11BSEmrmVvTH7/LHh6lqWmPAt7xbL8l0W2St2d+gmrod0IqvokYwPMx471EzKs2TZ3ES4jWe5
Bp8Y21pzYKRzVM/kKVepupWwJmrNPnfeg8iaBywLiLhF9dEaq7ABX6W9XBfT3OhgwjBzP44eTSes
9aktgczVD40hGxpf6OhKc0bCDeHNXG2HGM/3sYIPA6kKohQkDRODMlqEkwAYqHTtJ1ToBy33USOd
q7S4lF15sBV1p3XjpRqUSwk8G45cqOVsjXBYWvkLzOOXyhbH2RnueyPDGh77WVu9e2CwslJ7MhGX
bpr5JBYF6gz0LCiDmEvLjC1RTRLdhKN2LfQaJpQ120DT3ndcTOwMupQNRWssgjj2Dd25b8ruPTF2
sFPYg5mPljFepVO9J+VFSatjZrLisvtTvQnfVb6XnvR74x1yOWWyeWw5Rgx8pY0VwcvAQTVkz2KT
SPBlXCOGyTnRejwTNcZpXxMcSXku0/YTjeyJAphKa8z91gqqwX6wZNSF6/eq1Pk+oUtRzfbkd6ny
oNtB6dTfEqJPZtwOfGeMCY8o+VQKGeBY/lHZ0cZR/6fVnbuqNcAdkgXvzW+5Nj4M/HU9C4VWHSd9
CF21+Ylzu93MxB9DTHqTTXWajCUssLT2xnC1SavbNIqYKfFBNCaMNKbpfv28mr7+GOzh1dO7z7It
zl1j7aAB7vo6JH/lURdZuXFVemoQEpCFfhdm/CddUyTV4ity4Bwt0iTIwugfo5ytsLmQVRG1OkNL
Ig60zAiSildjOQhB/FHRG9ElVpwn5LuM3bFgZRlij6nBil/XT518WiIfSBz6YkVhIe2rQJ9aPGGg
LbR029LJ3rQxFgCrH5dtJWhPSiQxPBCvkzYaKgyJrR4kJmMq4iWtgA36U2Z+ttZ4YedKwYSMxHXm
h2I5OF71VDMOJz1qeZcQVNBli50ax5Bfqouq2B8dnt/NxGgXles3YMi7qf+Jm2q9gL8WA3GARoFy
pZmL3Wh4nBsoXdhOwGNTsuYoI/oKvVtpG8muPnBivPu2fu7NcaN1A5mt7XCqOZbvCosNeo6czSGt
6860oOaVqQpRB59/U8/h2OD1Xuhu1zU1VkZ9RF75n6Ij9zHp9D0g/wFzQ6TeL1w/bY3KyKrarWkk
3rUzIf97Hpe6dklLTM36ss1FDEsMLAcCYWZbkzYf2AFsiHruPDI5gdYwTGifphrN4+jGSWi1CDbs
KMG1Hz+zI/i1rLrsps3koR9omceFAR4TmZPhJukJ/BiBXo35nNkM+LRG3wGQutqjeWkZhG48Q3lt
PEIYyWt6XpTpakbVa2Q5go89bxnu9UqQdI25z0Q+7Yo1IqHQNermiuk4Wcya4yWhrUnXz8f2tQdI
Gqiz86ajjd6m1XSQrFvStN8txaD8YasHsgptODiN0AQ6rqDGlSLrAh3eCOEkclvGBLnIlv2Uq1c1
4DokIAMowKZBe9in85Y2e3eGMQhl3kuag4wG46UufjNk+JLj2STdrDedF7lGfKOZ3FcOH2EZhaqu
KCjqXHbIOyMlqtFzrDX8gBlO7LEZR0mBEqvJ1zCA8RDX2VciSs7gsj9YmqFTvwnzkBeQNrOyORhF
4waxooLCr+f7DCoLnwYiUa91gYNl0afFmHvNR0l9BXr9LnHYc04cSgRx6YhdBpMaCh+GBfxLH+zy
CGDwCYXfT4ZUVBReu/Vsfj1pdyxq9jWR05/SdVnu3sq6ZgdQY9k0Xohgeq0TXfVTS3lq1yNZSsYi
nQsJYtYAjsHJ18Pe7TZTbNPcqFTy9JxtknOwyYU0lTXvo+yTgJ1qMpXhWMhrlhnPpPm8JnMYm1e5
iKMjqgvj8jBHH7yxBsa7bTR+zJr7vZg7m9wtu0hgECrRTPV/WOrip1fp8K5qZ83jHbSA/eVT9SpG
NAeKNR963TyKrvnFEndSR5hlmsoO15RIp+NWnmoIAaPxG6+Ebl4XV/wqdbRuiBUCGsscFnG2y6P2
kf11yQ6qeEUGRutQQHP1Ei+INdT4pA/w/hC2JRQYZhQJ1r5wCZYpnUBNFITvMID4CEpO4NJDDcrQ
ATDMbpyc5wGWQbQy6ABfLSI/mLZ1sGPtJQJEtNEV7cCSTfRCk55HRJMbBoZ7HT5GNE7fbKsYXfXF
l51XQBhHRkWFhlQurz40D2jOMpL7pD2OWfqtEqwQz81TnBm/dEnuTJRTa1VgJiZrjxr51UjZlDgO
Hvz2RR1ZfTz5WyEJeTCTA2l3QQtYwMcWfaUlzVidht2WozHpYvqyFuAXdhdNnt1ZrIoZ8t9Npiu/
nFi9azPxaKG/pwmySQYUl4n3ZtMt3Cz29JMk8iGl6ze6j8xQgkaNturqFZsX+RRPxbMOBFSLgIVl
yUPdF0eri8T92KkHOswDu0Sko/Srq1CHHizI5pvriVGILQ80p7/tLtrnU3zHLilw0mojocNwJuin
Zii+Yup7UpOshzEfd/CAtzHJcWwjDpM9/kDJIWC5e1dV69IpEnRBWTyRXZHb2fdc/cSAta2KutHs
aKc71tEptZPi2aGOrNowFgw8c3+WGiq5Gbk5LLEvzSTkpp0d0l3SPhDEQPv24D616eq8EV/GxFbL
A7yo065nHjOtB+cpBtTgl7I9eqi9d5gJfpRUItHTULHrZ7NOHtLO+fAG7yWyi91i4VEp6xQ87kgx
gqgdY9HVVVDEgph4jRtGitmwa17icoKlRFqtJ5O9vWCa7qf6p6iagzZV16Gaw1TrmMqaiHM7cmTp
KmLjzdOV79omEO0cPOvrjScJQ/p7V1nv/ttj/3b3377s9hX/fIO03UGJZfRUupSi9lOa1dpWXXgL
ZUPa0i0uzFtz5CpmBYyYl0fYQCWuVHxffyPrbnf/Tx+bGJ6AAaMtAsQzP9zix+ZksQNkAf9pz/zr
wry5NT3H6Q7O8iLVfuiOt8BA0sL5Bu4Ei8VKSsTqkSjIBFy99reoP3Mq3SW8/VOUDkr02z+XTrtE
pjtto1sg0z9paWt6oLKGOd3uKhhzajvCDFV43U4VzQGfIL/v7df8559/U9PE3K0Nu2jjCJn7lHB4
0eJa4kIf//Pm9tjt7u0JBwMJn/t/P41cmLwx8N4+68Xo1yZ8IXqWPCiqV2LhOyaa2H5vUXudqbOw
re60Gx3u32Byfx8rlUYhPP2XKwYsW+N3gTf1YMO0S1a4nbti7hx4d8sKvjNWBJ61wvDSFYtn7uHe
sBVdaXlQ84YVnwed8idfgXrlegOP+lCssD2xYvc8+HvzwmXSWJF85Qrny1dMXwyvb1jBfdKc9xok
P3NF+uUSuB/qZGJGOH8myGRazCK4ggDryXpTVzTgwCYgW2GBzooN1FeA4LKiBGP7oBT5HxWCnbGi
Br0VOuhCH3RXDKG+AgkTyITq3PySK6pwWKGF7BizFWLYrjjDzgRsGE32kSlDjQvCCWtrANUHBHFa
cYjLCkZUcj7M+h9YIthEdQUoxi4oxRqmor3CFU0sbQdlVB+MFbw4QGDUVhTjApNRrHBG6vDNi70C
G1VsJ/GKcBx0YI4zVMfMAe8YwXlc4D06K/iRL+nPJSzIEiakXOGQHNjXtAMX6azgyByCZARJMoIo
qa1oSRfGZKsDm6yQX2YrfrJPKFn4f7aCKc0VUamtsErC9bhSe+0XGNuMZRakpdICt1z+F3vnsSQ3
kmXRXxnrPcocDj1mvQktUkuSG1iSzAQcWquvn+PBmi42u6zKZj+bsBSRGQqAP3/v3nPVR6lhl4PG
Xvp0FxMNwuxcPhVHwzEtjclMNTAz9kBnCuOJ6dJ07WioZnzBa9JuKzRwczBBb7I/964zOtLX9EiR
thYPMsIOTIsN4umBzIgPixbBooGerkZ7FhrySSdPmwCxSV8IoKmGgdIHyLcmfFBAP/ONid9g1uhQ
pZ8JsyeD6RzljakRo6GGjU4aO1pqAGmgUaRSQ01T6KSsd+JAm+6JAmQrNPuSiRJKEwYqOTM57gUP
ByBlDfT08rMfv778xtF41EmDUv3zog6FhqfmUFQtaKq9u1yVudbro9rDCU8LrbmBQH5K4LCiwYO6
/Uao+zvk5Kc5j67TfEZRQYbwZD4pjXPtbPOltAC8GkH1xdPIV1PDX+vlYdQw2BwqrA0d1tGYWBPc
CahgdTDwutQAM+HJthosm9SAuDBuKY2c9WDPKg2hLaHR2lBph7RryXWX1aoL222g0bWuhth60Gxr
jbUtNeC20Khb2xyeAtYqY/LvRw3DnaHi1iZK8kWSSVisrKmkBOuclxGOrj+nn0e4uo3LxlO47Z2Z
I50xm1N2YLRNWQKPN9RgXixL9gpu/23uXZNvgN5iM2iQL9Ckxwqyb6YRv4OG/Voa+0vz+xuoJjrS
EIF7yJK5RgSPGhZsmGdfw4NDKMKOxgnXGiyMDewh1KjhGeYwOKcWrjHSbfcu1FDiAE6eIcvpPKaL
j3Vp+NRDMLaXB8K/0AJBNu414jjRsOMM6rGEflxBQcaCiD/AuIElTNzQiHJ8qct1PRivoUYoQ3Bn
tpuWh8ZZ3sKQ0ykdmgfIOdsxeXDw3MJiDjSUOYHOPENpNmbrChRhvu3hN/twnKsu+WabdyMEbZrk
zCxKv/tSoPhI8aLsZg2D7qf3ogIOfZE3GxPA6KpnpCZgSJt44TRSetFwaUdjpnt404sGT0O4OCSQ
qAluu0JPfUhbiXxf7qbCxCDVBauxLKq1OSHRttjkWJolbEG6dirYgrEar8vo7FHFbVQrinWWp/WW
BgUuWIjZXmR/9bzQWfXMKoWGajdJ8Di3aiIkWOaEAOLGrKO3ITbla+/QcHFa2NxedFT9ZGEoM15N
46amPqtKFCg2XO8MvncM57uE921q8DeSWQrE7C6gONNg8H6O0IoZ2Jm8UKDiZQNtoK3OgDKv4nY5
6VKytcR5xmZMm0LDxxscTYApOBXm9g2EHZ36Cp9g6LAtC5iQR9/91i3OXoGBwWPzA2rMKm8n2gkr
OfsHz13qA7vd4qFpq2cUU18HO3lP+u+WBqcPGqEOUPjAdde+y3mzcoemnsatT+z4mQdMz75GsQOX
9eiddd3uTTgFrHbay52mt8+a494BdDc12R2YT7KpgRNv0tRyrpy3WFPgHXaUfNy3lebDhxoUDzDe
1eR4mPb+NgEmX2iqfKP58osmzQeaOQ8s7jjR9CAmj1AO9If4JUPI+Ras+lJT67HB4WnRJHsXpH2m
2faGZuMXIfOZxpuxGbbfJKrryMiWJ2NJjlyR4hOJJzdO2YGmFOYjWMJsLfNiIqkjHNZeXx/ijpSB
MCveJ83fbzWJP+DKRkvXvU4cJDpliDPcvrEj6P1ccemMaaJ/obVfTgwTXzZf+lkEe7dq7mnLBgdI
UreKoVTjxA/kqKqVxaRiizj5gZn1gc6QfxN5JIu0XSWOePAXzNKkDgQ6f8DXSQQlpM91SzgB2ucP
l7CCXKcW5MQXYJgirm1OXrL+NibeICLmoNZ5BxMLGsGD4bbBId3rSASdjVBHtQ61xd2qcxMGnaAQ
RubXxphG4Bl6t1C77yUd4BVF6bidZEeqe/BdEM++HnpiwNJUfAtrg5fgVQe7sEFXdmgc84z2RMiW
Wrm12NXFMeWVYccNmu3sm5hIovei9ZDX+am1YTAmz4p1d5dOzJvS2PCvY1Bc1zP+P3O0cSwuob0t
c5US+4tmO+0s4yC8tgcMWmPqxMN08sCA4gWnedpeg6+eCPuGqtwP2d7p0emIsQm3dZ1+zfreONlt
iIcfSxFp5FVW7HKXOHKv49mnhkqQHkT5aSxfJwOd/I+f6B8vZKafZPxkWbzCQhDNHiIOO7tNzVJF
+Oa065v69ce3aE72jW2Ohxm78o5NNsNFXfwBAJzSND5fvnJpIh8GJ9nOThyeVAZblbYCXy4NDec8
i/KNVZgvBfh8Jof8/HLjDWG5S4r+E991BzHGaDTITm6JGj7H+ivls3Uhv+U400/lFCyOAnfauWpb
HcPQYLgKF7b2nUv+jfTcaiv72V5B3WEnNi1f5jwuuGzVxZmL+zkuvAS0vryqdGJ8o29qAwNj7Biv
lx+lBO+tUZYU2GYcOz2Oba6ONSw8t8Ux5EctATyyPV9uhjEEYFk5xCkE/UG6Lf5OciCgAiTiNGZk
uWe0QTbZJGlVDcmqmB3CPLwZPaCBDKvgDkmSj5tuiapzNvTlGW0JDHkugRzX+VdIZAZLV3rolX/T
NxPDxRzRvF0n9iYVwBuRO4pN3yAVyBWHjyNQ4ilMQGcrKhXPMfnGtpXjARXpeWR7sobAXa8THJKZ
OdEwwYZ8ruy5wq5eVedO9Cg6Krk3iZKnlAjS+jxUot7QXQjoPPb1WYIc2JNYe9UlVEe9jpUunFau
SR7WV5eIQcjlh15SbDikaIKroGDn7jVbvwBE7c0xLm6b3s7lARUdt9o5lcC3z4N+E6KJgUHfqus6
Cvpjo8Tm8twT2k/ny1edYm3tNYegnZvbIszVfTNwppnNNxmJ5Rgw882kasgM8Y5dSe6nqMdzbOMS
qivqGWPpb7ucJ6DE9Ekygtcog6uqaDG5isHVy/aX2qUD1tbwY5uIcm6W7htv9G4Z++yasXa18f1d
iU4oMhyUUj7dJHeK8F1FRE+M44RUYtyoRqidfW8/hCO13hzUexW7X6yhfUlyhNCGaEF0ILkcloKj
tqVh7iXJx0Xj//9Qxb+BKloOddVf2SFe3pu8LLp//Nd70aluPn7/5z9+/5vf7RCeSWCeRQ6aJUyJ
C8EiBe13O4Rn/Waj+heEtplUpyxA/8Iq2s5vwuTHvu14wjIlnoW27Lv4n/+w5W9ox8AgUnX4pnBs
7/9ij/glok3isaAL5vEEEavatrZ+/OyN8EF0LApj2iFyg28+PW1L3S/mSD0T1dYPS8236b+jd4Yl
8DzL4r8KEBSlKrqW90H/s5+NGL5rWrxSIicsGJJE5v37g4UIeKVVRuFhZkawkz7WZm+YLCAClmL7
g2rie9sKytZtDSYjKPxPtTEds1ywWA75F7YE8HdJbqdtTF+1GzfphLzFTiMU44V6Vr54qrhSrl0X
B1PmBJsKBjTXNBJ4bCQDExBpTdC+KiP/MLZCbo1hLreD0dz9dAT8yQv1CDr8jxfquDBvKCtNvC6/
vKsxO8nJSn1ijSIb9KpPvZ2gRu2Vo3Hj69TMwHQo+c0W2UemrEM1NfiuCri2YVFtFdLECP1CLPIP
TvCrLBvGjU9O69qFYZEWkrmuq+qtZJgjy5YRQG6+pn1cnuT+guqVvnVkNoZmLbJh1XfWtda/ZElF
oAaMnL60ToYU5S7wkhelc7+yJfYpq4t8XFcxnhX0sYSO6bA0L+CZ2jztbvCJevPoBWGSQycSdZ/m
mnlnDGQn9s3nQs1oVyCKoT9ODlgXyGyhGtAt4g8zgSdYjXcDMkeKdwpE3DLz8s5u/y4V0QduB5wd
emPYzxuJEXTNy/I3s51+LmvGT2EADaB2knXuZuPmbz6rX91B+qD0bD4nJxAOZ+gvB6UgasHKu4UI
UoorxmbhU2KlXxBzroaCBbLAys4Gh4omwv+/GWoBw7IZCStxDq3BxiXsQetk8SFKdTROGotDA1Y6
HKXcSAXRPC4Qvtb+p6lFhIgb1l3R3lppdwN87GjfAGdm39OR7DTfm6+DyJyNjNQHIV7I0xUt4Noj
iyiBn7JiH7ptxjHYIrn6msX2dEI78CmLiyubbGxQ6nh/QPCuYic957J66cfiDuE8XI5J8zOHK2Wm
zGGLu7BFbMdaOYxHVqSNNLObJDRue1DuDuZu2qAWohsM3VBNuMO0YuDyYRfCQTsZ3AtGuxhJaEzH
SXIbBPMGl/fT1KYf2IpPfFBYzTli/uZz+pNTCn0vFFkf0Kwrxb9fO6hI+372xuBAANe4aQTGJp9o
wJ2eeXXysbPTT3/9gOafncTQay3H9h0kfjro9OdLozOY+MVMHtGarHPlugymVM4AhpfmFv1rpYob
iy6h3sZ/SmeOYFXyCXulRL9VIGRW0Udr4hGNDkP/+a+f258ds4HwfI4WtkqBxbrx81OTZlsUuZGR
vCCvgraM917MU2MlY7bneIRdMm5cF0v+N5/Bnzwsxj5klZ5v+dKyf/kMgkZKH1yED5ch+5gc/wm4
gcCsk3y0dR9uoyndp63/9NevlSDa//zoHcmPPVcvU/+xRiUR/vqRExddkTmsVXQb0clEvZZdhZWg
VNQqOZuO19p+DlvvKaUSW9WIMuiGCZoLwTknpHUdsCxx2uXXsDSRS3ORCWFk7BX/JjODPT4MtJ/J
jNxMMLllBJtiWcnvbIJ61uAkXovGuC9sUvAG3urZY1iWkk5a87jbbMIQBhVulyDN4di8o68woqJr
kahn+ZH4WHrH1rnAFbwqdZ46A48iosMK+HztIRCpS/qLrt9868RzWqXQnnrEEmENKCycAPjW3pcO
327q8MzG1Es3KbN/LotpsMaA+THBhzFDmW4S1Q1sOKatn0LXoH52FQ0yfeHJpuXKJsWiFDYoH+IH
V1W9w/xD2soEpN/K5idrKJ97U9+XpZXgrPnB61hzamMQTOGDJzbxPDFU1yuntj65EMtSZARrZ6Yz
PpJtsZHBDtYKah6wl2XPOHKymQNngMj+5oiQtk6O/bdKwheCyFvHk57G6Dv63P3J0hnKENb+0kwH
Gjv4+i02fcMtvOZlb4COXw/BvS8mxBlmdW3BFkKl4V3DP8b0XEdwsYjPGbbZ4FurWBTkZPl4qFCP
rrI86Xd5wkJErbKmAF+PPcGdSBaiq1Kaz30CrkrSG1tjeuGCvungvmygpLNxrOm6GM435eF8nnMY
ny3QOQcTDQlCnVjBBNiG2n9kLWylyyje0d3+6Ar35Em2JrYTfC3FsYnHh6AcUYcNZrUq224vSfW6
hlv/PTVaZ43u/WmqQmPFNQsxiqbtbVS1PEJjucqc4sGv6e/hErJAQ6XOiojPTwHg9Z20vZ2TFx5I
oYAef2LAvkPns/SUWJGZH7vFDJk2zTujoGUV0+8kuoHRSDwT0WY9t0v5OWRYgErDeUWoHbIDV8j6
DO3YWtduaGySkMiFLCVerqXVt/THCWoaghbvnsdt16GH2LFvjh0K1lUdj49WggdgUAincpSp6Xjd
zEm/0Q4tL+Otsl+6MWvXU41bpXZIpVXlPm8qBEcNCKgqQHXu8bxDxtIxhfXaczrME6m5SwM8udki
+dt4Xk+hZHVaCBkG8pHN5K4KNlor2D/9NrQC1OoUX4z8pynnSOZv19Kd3yjN2MKBvEGmmenqFNSg
GW7mMBlwB8T+xifIqY/c4bZtK7UbFoBZKW2SOrHAmiGP4WjgkFAVntessRUOVFQXlpVXNIVAmESp
PNMzFTgrWJwtNBZ+pvtXdhVv4KjSvQCqONXxyxJlj4lTn1VSHRM3lmQuAqcEmnfI6b5lZHkwjt+N
HmoTm4NhLvB3IDOmyJ0YJGGfEQHVk1/2azkH90EEtzI3hseoBRZTmc1zzum6GkzrPh494zi06dls
5fJW9IiL+TcsJe6+Cu0Xp3ZuXJQy29YEgIDEcY+uBDHTVHMVlJHcixi5mUPKbqmei5T8d3PA4lIK
i35c9TzJ2tssARnJCB4t5Cfm3stlc7AhRmFAzV1w7SB/YmRXyMeo5UnlGXE4rofFu2WeTgqJdTsP
/RaL81teTvcUrciDgRQpS1I9TTki53D4DCPrIRLak90IQXzkdGo9cZQDFapDtVI6OPyK3oA2xpV5
KbjE2sCztAQgS9R9ojWiiHkeWgNuIb0wqHiGJGyxjVeuyVndmckBONqyrlfTZ7h4eAtTEH3hTLzF
mFyTesMlOke2VBI0A8WuJT5r5eakhJZhFRJDbr0F3SmM++81V5tjM3IeB1O7b52Q6L36sfCd4z14
mfi6mpEf+SitxdTsXLRSEIRe0nx4R84NNEeE6A6rm3Y69279uav7p6CVX1KbcKrlVM9SrVSg8d0z
vmBQOsl68cbXDFNW34UU3d3eSeubBQgObwLZUskA1JdUQHKS8+cmGzztDXtLfVCHTjo9ZgF6itxj
gmTlLgI9kL8Zl/oCo99t12TLZh6YXkVkWKL5MfcGvJ0dk6ENyYFkQYVPI5HUIzOkm6FlTIXf5XMC
AXEV2y8VmpirvGEIa7iVWFPavgaS1cRIRHpfGUFx8MoW1bVZ39uRa+ywCso0iQ/G1OXwBtch+0ZG
LYAHY+lWrMAd/1+Mz5jvMV5aw0ONJC6xOZmrkv5/bXfPKA7vtfM6tbpkw/xrQ5AxfDSwcTXKZViW
3rPH/uaItRJnE2az9bIwCsvzEMSY3x99oFNb2AcFyqPkLVRPTUtCyThz0QQLWkQCkH3UQ+zad5Md
7804eaIrtZqShnzGAJeEqkJ8XyVO6i5FSzbU5cbxbBg0vWVRSjbZahyfqwCcTysRwgdLj4bgSLC9
7nTTatIAZkbzXw31hbO83YbJmMC/Cl76NrifTNbqCJhBWzU4JEw+fgGv8F5AGjm6bb5PawX/M56R
AFTIUaqh35H2QY+enR91JInaPY2nxfpUBfZnn/kG/BIKPNZNxWQSUSYDSLDPcjNk0bfctiZwZFht
qKaeuypX6y6rErwz40mG7StOwW801Q5upQXbofGCFJoRJDJ49vqIvMuJbqSwPw3N/JRzeVmBjWUy
PhEd6WUHVDUbBIYcVNmpD7yPJJFEG/vAeNqhfB1RMa4819yORXxTWvGnMPrUynNWxB3qKxuYlBXs
zQp/fhfLw+Vvx1lFG8Xy1iKFnScEkFZAaTCaBIzH5BTVKdb+aHyN3RGtnAG5Z0iwCDceZOimX2BN
ZjvF4O5QBFm2mfh9IbjmdumHM6CJRrsxHszZfC2XOEJI5WxlbZNSZrdEDac5vQhBLKXvn6cm+Jj0
gy0+k3sZZS9x1QF3wjEy19FzLNmuWSTAJJBEDUQgofdJMg76ZDT3iRIP+bg0W8ODrCKNJViPNpf4
AuDw5xQLpcmaO84Jo+7BR2NfwXVkZP4eJwIVyvxG8MXdCLVi49FFIOUdgqVH/5X2+VAMu4DoBlwp
xjOedSwHotvOY4WmloKHpLQFSX0NPrn37Lu0OsuuONpkVJwMnUlMH991xB50cas3gM2PG/gHHeFH
+bCB73NPubrsSssiUzWdyd5cDPo6U05iMol9pOmSKD7pNI7LV3/cIGMk6DdJe9zpIFcnD73u4MPp
KDJ/72rQ+gV77tbU3+TQ3cw6DSTWuSBJDrUvgOKh38v+5CNQQLI97WvwZ7YfnCM/p3mddTexCTo6
rYuXxs+VjtfpTipE3CFH1MSxh9QxTcx9b8nryhHXorA2xSgRpHfyOpExR2j+zCHOsgsdEoO6Syyt
tnI6Ax4CI0/BrHVnMpYQ7CKNjYz0vW/U3bjkFoiH4h1+37UH8Uax9yC96S4Mp2vKJGA+Xnw3lu1z
0aaPdarOeV++N+N0VtLemL5883v3i33y9fZzCICY5OW7zKI7SVShCYiO7Y8XrAE+Ap5Kr4feZV3v
nycUp9RQ2N11mWLHm0QsLH00w3yU3c2MYtqYUy6mHY+CYtnZVkH+hX3ffGIkMJ9GGBrbAf8R2igz
Rx2Kh6iThX0cjGw4MbifdE7HhZnu4r3E51G+uFRCp4tsKuWDTlsHNhKnqKFKsLqzH54uN8WYGSeh
0hvq7nB3SWWEC7i3SS5kXlTVp0akAcquHJBZ3ZRP0IXgCFCrXD7dy1eXY0UtDvDPOaTOJoMz3l+U
azFatdPlK9/uLdo8LrSFOFi3TfDkSgjJpNN9lWVuIjGMj3TcP0cJ3Z9xQBrth3vip5DhJelHMoRP
bJgOdlZCHykc+BvRM9p7wNtucFp64RzUxOpWoCBYmX108mf6O1E3snEdOsZiQXpMNGEcNCjJVpRu
a9sCQSAKZ+sQMmrP4/HSw+wS3yfkCcJJC8OixBhWKWe3NP0ndm2URwLtp7tcuyFSEH5hcd3cji7b
k5C3p+mSj8GmIec4xvs0gGVsGl4A7vqVU01YqxYgHzYl5slje9mQKotgkpzL2v1I9bKuW3+XTWII
bLBycWvaeXfwS9tEg8SWexn436Zy51WOMK0idVmzmgThxNaziYIK0iDHBy28S5vLyIOnWmRfaoQK
K7KA0Udmybc2TD9sxlBelx3dideXNDexMKz1iD5lJYWIt6oTD4kEGBmO3MmbyeSCKRiUrK4uypR1
z/Vw2+NgrJQJfoIM7R6NA8z1BQxeEG9ceRd2A4zUmRIuUdWb34WPSGEPyczktLHSg5f1b7k7azyw
PGa0yK+kukKU7cN8lqjeyD6IXYlMjn5q99aCCF3pI2ZaYndT6z6muwBYiVFA6ezOLsdw7kwbu4HB
FwnfoY1AO9oP+fSTQmTHyeEc73VbcSyhO6Igvu+85ntI2OCqGGekdBH1+kCjwk3a19DHEDrzdjui
fDF7TON2HdLDSMdzY0skNB2r9tgw/rUomui5F8DxPAmlkCflGt0dRD1sb73JyX35eGKuNCpWHVqg
5EvHBwH7rHiRgqUsoTM4OuVtEmACTAW6ZSaZD4vNsJu4CE6PFGuf5d8Lh8aJQh4EzMd/QJ4RY0Sl
K9HxrngJXYzMVZ9Vr+4NtFk/jroUzk9uCnxkE9XJOJEuYYqPZaF+iEk01o2QFEDSarEixp10HJk/
iBUSxacssVsOC37Hrq3mgEKBKS8fgBXrLbXuxCDDuG8a+xsCcHo8YYUwTLwrQ9wU9mM8lAm49mB3
eUtVUo9bC0A4jUpGGdQ5BeoS/XGW6ZvOgaTwGWKyKnUf14Ai6bbYvDjAt2OXPubTdJMgodkOJXs5
fO8IdUQmEb0vqJeQH2dVqrNfadmwUMD11Itbx+d6aW4XNOPobI/HblRrkdLhMVxU02XaS6zmOfXC
mGwlkN1VWdnqYHbw1LM5pW2UO8e+G+sTQWtfIpsujGlcDSZNiSYpT1nOUNCv0x3te5bj2DsD1oy3
hVE2OMf9XcAoF65U0R1w4REZy4w0JNyTPMQN2y/CgzX/psTqOLJTWILpaKr52BjOp4jRA7uCalsX
IdyA9OsYpcMx7ZEUZP7ykQvImhzATkxjzQjSL2oM5xW+DNDYPEhK3wyt5/1YefvcojtHhgmMWgel
CrvKVh949C8cSMbny0wmM5IP2it8zKP/pDJ5ky3OfRty2FJAtVnekXoPScAAwnw5xha7gJyDKc0M
a2RUQyO3oq/v29ZmJ1CiDV240vbNNdoRfyVQz5Au6NANMyH/SWIgaNiLvN5LqYL1NGSbXLT01Qyg
RGSAasQ34o6y/RaGIUrM6CNMr7p6foiH6FWAb1xPrjSQ+QBFGVrdR6MKjgb/6IYOuQScz7zC9r2u
UDvOKj47ZgUVkxnfIbFpkAbQwglr57oSLyb9B0ZteQRnugmqcEvaAYyXNwTXJ5ZYUPDzkQ0/oapo
owQnykp4VIkT25zWnkNM68ZtFByQnB/L+tAI8rMJGkE+vI+qqjwyKXhVdncv2pEchIWiIIFd7isi
I9l27M0CpzSLM57XdR8x/B/dzw0WvHWUzc/u4h3M3HsbfOMbqHi1bkxSHiUVXG0dmfBjjEoUrSjH
WjfsbyqZvFYZ+iw145DVxmbYt8fByq7S3GRfU5gDzENy0ge3vQkDeXA6+VRjSvAXdQNY+MaagfqV
QkE7U1dLkLjIippDAIf+XJfuV5MATKSTV7mCahEMItkmGcejB7s8FAvYNOV8MsOFVLe2RiRq16QP
IkvJlyTYGCRT2F0/UAmn5XmaKVPc7h46WQSvpj/MIMW20rHew0WiBhRhjRfM5KmGyONOl5tI1MgP
/vi+CWhr1sR9G23pn5vabPaWET00PIOTmWeAl4HirYfJmM8tTFeuJTiduS6tpkWIUxlbKKtntxGn
y/dBHN5iN8Ix0/s53UWruAoZyC4j9HcTOqmgWYA3RUbbYhR7d8yIoDAs89QhHOOI0F9WTiRPl68u
N2mKEEqxdm+zbpany03YZzF7XHSUXZwSFvmvXyyxuqLnP20jpHkwMPxdElmPUY/QlPzeeqxhaBgp
eCWbtsihCJlP0jJla9wee5Yj5ywCHqhk1f6hVbkIVi43TlAhfrL7aXuRzOCDOF0awf8vSvgbUYLD
fv6nlvnmrXv7XX5w85a///Mf67cM7XZT/Dul8cdf/W/Yo2n/ZiKm85zAZaCjVQT/q0owpf2bLRxi
GwPXtCXDnj9UCRJVgi+DgJKBGZAU1r9kCZb8zbEsRnOoz3zLwyz9f5ElSF7Pzw1+wdMypen6jHyg
Ckj7F2ZjB0+6qvt+uinwdW7NUoD8neyrAQU6F7d4eC7tqTj2tvI3tQIVajROg6mTIA8V9o/IwPIn
ZANIlsqrYQriXWgVN8olbIQNjyOL21wExonr6xdlUGXFdL2OU2Dj5KyeRx+aCpOg6TbofHf30wfx
J9IA5xcNhH5hNrIAz/MYZPnS1ZONnyYXdjFXaRD3w00krXw/6o5zZ39b7MZBTRkVV2zawFnlfQLJ
2qAnD5Htik2feVPF9nsXY84LpuG2dFHiM7YtDlZvdDgzBve6AXeElq+/87S2O7DxVQOdHVaNjoln
E/Od8Ah1EFPxUHq9+eTlFAkmvgpaSNWAMq4AYCOKDxZ26ksXiMhsExVe1FpvViRnqyfHGVl5v548
eK0zoehb6vbwbMUj7hLD37Tal9lPVK+BZ8dnbKsQ8I7F7BuP7lJZB2TOwzqKGvU376n7y6T28p66
nktYL5Mg4f86G7aVFzMlmrsb0o+73dDHCu6Y3W8juhtPQyTWTrXMJ2MB0W0pQ+2LivK3HL/7dtTu
VVDLM3LSXRam4nagD3foyq7fFi5SuDrZN4Q/P1K/pA9I6LRzUz7DM0ObHFImAfAidNElCaYaChRn
IK9sfyGiGTMr0tDxCa1AtIrd5HFiTM+QMI1gsMcVqmaQTje06GLaEWGz4aTDWQik9HZwQt3poD1Z
603FLEfzydJkkmC582M3fwFvuBmIIN10ThVfp2apW+Mnr4KkrualO8TSeUiVvxySuMtfJJEXTl9f
WVb2qHJ3PP1xMwQK+/2cqL+bz/3nycsCJzyOcpdz2JK/yF+8mbLGAH53UzhfAcSXZz9lIiVppx0a
gDsrQO/qPNiOez0NNuUi0XBuWGxrGZ87QO0nWTg3PcbpK0XMg4V7M+g2QV2Ll78+F3/RPgkPaQ6B
azAwucZw88sQ0RFTZFeA+G6ENNpTkjrXhUu/w4E5p9Nsgr95uF85tJfHCwTwWxvNSeD5v5z6Fcf/
UjdxebNpDTO+NVB3d+m8MgzpbM3GtHEGpQVhX0vwWHNCrWgdbtwAJWcg2GL0tnjwHqDLRS+dJfIj
9i8uZ95XCOY0a5SBLThjj9WE1R7iSLFt0aEzOMRfXUmckq0I3eu/ef9+mcLygjjXpCMRsbmoaH59
QajKFFigXAF8sb54WRyfvZiDf/LNhstVVK8jlx635znDth0q48riSnRull7uErd+UJQ0G1iKVFv8
ETXRfmwrrBH6JrWDdxNv2NFSnIKzuaT4aIEdTUvRrVvgo7InWYJ9ULPzimXcjYhVk7AeTygwc1pE
g3ladGEkVA0jovGyG+EBigqXxHsNYMdRfZ9mM4xvzKT3zFWX+ZAtOmzhS8sloGp3zLp9nAPpdG2M
jAA75PYFaM2T6VVYMdv+o2sJwDAakrIBGNlIu5R55ZMAsqrmdEFNl7XnsCzGVWV3xc1fv+/OLzoM
/b7T2pam5eKHZiHR599Pa4hwe6cgY8y4nn0UYxNiKsMZ732n+TTGBhfeQbN+G3/c4BD5npp+8m6R
MyuTcnyrUw+TRGq7tzFTlmMKDnBPXzR8SGYIL0rfl8ndZBnz9x4QIA3N4yTd5EtSMrdldhvfEnSG
PwiDCBp9tEpD4dpvTEfBeFcPdu2TsMBIZDszulvLer5LqlxjfBcUxXZgHKPCfByZae9muuOHmK4o
jXdRHAxH1LvCnuyDQi9lGMV4mBY0brZbZDcRbeQhbD4PiOBvweM3L7Z338h2evVbp7sW5vav32AZ
eP9xaFu2xRUBbUFgElnhUej8/BZjtlCiiVHOkZcB0MLMzDPIM/Ms2olBRaTMfbagSLn84nIz+Qix
yZviPo1hzPXuj78xQ+NbtVTNTz/66S4O7BtNFuIP//hvQ5vjIvCw8P34v5dfhxkirfVP91xcAAcQ
D6BguDjqLn9ujE1+xNu0++kPL7/48ZCXJxjn2LwD23758TPr8gz+ePA5SPkwQq8XR7hpmz99TX/c
+/f/a37PI38+/XgO/3oxPz1Z/Rb+eE6X+/x40L7KbxNzYzZDv3c6n8gbfbfLHUK7IV3m8uXlN5eb
+fL2X760OWUZY6LsiADomss2JH3DsMKzQi50cDZKh3PQlyNkTAd2JDq6oxvQ8Y3UsS+Ds3wsWZfu
5u55NsaPgd4mwlPrKrGXDzF1Lig99dSREZLpsJA4nb5WuXA2CUxGNI2+Ti059xgznsPeu0mAv66y
Fjnf0hSvUlGukhZ3Taw1MVFmtO+LHHMVjc9ex5gkhbElkgHxScjQntkPYSc1ZQKMhhupg1Dm6X7U
wSgRBjPaIRiL3X4zEkK3XjpmxqnH9NsnWEWGDSgVMT2OBZfRXsevKN8r14JAFh3MUuuIllydbAxP
LQqq15YMF1d9J+juZtDRLsoyjnxsRDeR+gIl8LaPGEymCUxG0dFKzd0O+URv7GELERujA2QQ8D7E
OlIG+cOO0/eLTZx0jqfYmSv205jaASARR6ODaZiH0MLGQa50aE1Oek1loGBPdZ6NDrZh8h6sAtv8
tEw69MY6pZZ38z9cnceS47qWRb+IEXSgmcp7pXcTRmZVPXoP2q/vBdbtvh1vwpCUElOiRBA4Z++9
QmJTz5qk9JaRvIIwrzs0iqVXNOZFYMrh4fQjxRMWKbyOkY2/E1E9m3bTbYgWIAulufq19NAb5E/o
XznA0Hpqhe1h4a/Rjw6otBBKFK9L+D4FnB98bmTYAP4BMiO3YwkMyLK/QHquAwUJklMF5Ygij4rj
HjWn2HuhY5xR64ymsUG1FB+biuxY59woBBFX7HPaASXCngmeCE6RUMCiHnLRnIy/4jp7yt1Cu5oe
o6SCHFVIH0JD04+TW7cbjXL9GvDUsA7khY5Ptyp6cRwjihUoh+MmlAcjEVzeI3B8Ytpjpw5YiCfw
e1MV0CKp7xkj+QgmLqbN3CXMbnKG4tR9NRTAaTapshIQlmdjs9bMttu6M21Iz9LHNeaPY6NIULli
Qs3AoVws1dn4Zovkt1NCmBubfivs5KnA6XjxwEuVijOFYAm/FOipBASV5SJF0gRZx/GT5Dq/6oFV
FUCrKP56imEV2wXxNAOqCTs7BLg7ZSbeRqza96GC0hHhKq7a/qFZ2Fis9GZgWZGiZqFqhJ/VVDdN
QNQqFVsrVpQtcn12veJu+QC4ekBcFkAu3aPb25Ywumgxl0T/4iyexkLgvmVoTeaMKJPeo8EN5wvr
MJFeEA8VAawGBdblIGLtQb+EhFNWihamgw0Tih/mABIzCAhHBu2FpwHJVJG4P70WEifQZCevTd+m
TktZ2VWInk3rNAVTsRVAy/JQ0csUxyx2wke7hBHqdsk2CuhAaHJjMdnYhaO3Y7Uusa9XO/KspltP
WT27WwNZ+QyImHMLJUnA84gaYdiKMbl1rW2u885GyCHaFzTCQEVn44I2WXVLOZVHICIz88sVWaSv
TLZ2SeK/Dk6Y7IqsvBh6i/7LrD/5DdWYcT3vYKUIakROqZGwcgIea0GqM8dvBJNI6CiuUsiraMAA
yCKBuXhOSbphlhtUd+1nlEYKkVkUh14347VJBsEm8b0/VOboyou2gPPpnlkO/Qj4mqU60mTzQLzz
tDctVqn6Tvjeu1juFB2vmuHk2fOe2vF1rOHn4e7VGSDJwldsPV1R9oTi7WWsimZF4MtA8WHWbB9a
4HxJYx9hi8V8AbhWHUXwQ9qXrgIJ1W+m7EotFWgCwL+0p7nMgWwdSICZfI8AA8JBooehWIGNogb6
4AMn4D8LTTBAYpJUijCoWIOR8yhn09taE4tGCY6QyFiVe+0SMJRNSH90a29jxHVrKIb9feg984wa
zPWleI6BHRIVC/VQ8Q9tRUI0QSIWio0YSBuCK7hE8AvF3hBfHRhFwvKRcxfWi4D+6gZ8wzPIRa9X
7EX6ixtisJ9RXBFtoAiNpmI19tY3J1i/z7r4NWXgXE9NS0oogMeIWTXSe+JhBtiP8Lz2JOLR06Gy
OjUdHWFFiiTO9q1O9Sd0NPNngTAODL3KT0qMtWY5H0093qBRbSsAlIT/dzsXJGWt2JQdBDdCweFV
kvJCxCIIy1GxLEkxmLCRUOHUY/84KOIl+pdnQzEwY0XDrBQXcyrlS6dImbVBFBBpFu4OHOMZzZvY
U5h4gEj1rNKTSoCbkCT+dEX6x+jo9ZGPehDznK8NIJ26onUaKqExtkmYiasIq9zYXYkCbDa24nyG
JEhJUbw7DeFNs2KB9kBBHeCgbSTqY6Rgzs2OASauLPvXEOPrmALjwxRajzXVHs596Gu3okWssTxj
2Sx307kI77oTjeeA5hLkWl6mXm9wYH55If+7n2ftSY7deID07O7DNExICdD/s+yjHaYrcSXde831
dGfnOsRD4Fj3ScNTOKt9FN5jj770x0nSeFMKI7qNsmxpYVoBwd6N9tkTibDsy6XOTbfN9x5NbSyP
LMXyfYdr/JxEBc03N/t2ga/9NnPj7MSt/NBsRfMwtfJC2WW4UkUfNz42vC/ourvlqRx6uplAB56T
qJ9YvQ3pMZrn5rEhAGb1d2/9NZna7JfpYoglSES/64VH5lyk9TusR9ZrUPkEhfF/9Q6NQgAob+pw
NY96GF2GToprmHLJqGzIroght4Ph1L9HF/ff1NXdM1MeCvoSABQdvkPfG8aj3pH/uDxNt98tu7J/
JmJB1xZF6/sUjsZJtLLeDXoTv7mm97Y8U8z2LckjvOshqpnYHe1zDsvthhpTU5HXfq99AQDblChb
fnthDKzVsZJnv2m0vUnf/OBKR3u0a9NYLZ/FprHS6EX7M5ZQdRsy2++dW/onZwrSXa83khW897Ic
IHSFD1yuauR5rbXlPBjOdVo3N+Ei6yp1s/kuS2RJ6ghVDtYOjB7iqcILdHBKu6eFF9dPmUWa6PIU
n9muF3nBN+5cMntp2dx8y0nPmpZp25qk27fAj56Xp4ZdqGKpKBvUurdtKlGec353t8bK4Vw7nf0t
M0ID1PHWPW0g6KPon2hwtPhWo+pgkAH1FKAF/PuPAS2sq84D/xiyD9HmzgY1cXUBuWjf5DSisNLz
8tdgv0OkMb/7gBRost31C34ueTOpDv59QqGdG8vOfhCydxtNa4JLr2nRbeI9roPJKn75JevLwfjJ
naja2ORZXid7sK59aSi2Mv8ip6PHDw4WEGZZT87XwMH2PHROjjx3cn9UL2V5K01HdVW6/tWTTXw1
qq4l21IFVcEduwS9cl+Vv5jyibXkf93KUbMuyxN0P/G+J+1peT9O0OpkSsb6LUV+iBlDWBsAH+13
31P3W96Q6pESoRzcJjLKLnpNil0hhffl8mUtz6AO0aw9L6/vDJ7iHE1mspXlJL9a7P7LfxE+ch4W
ncY9YzkNzdKtoAL2wWfEr3LZR9uQjsUBih5CT+TnXA1NanH/6ZCMsDwD87+v0ljbhzS0vNNMOsh2
wuj1WSBeXP5LYJEga5bOIQZPwtoAMWkfF/6WH9P0AV9iv+xHakLxPp30kQTa+hRyzd05jpZ89GFx
XPYTjZQSoqQZH4lyCU8TiLedgFHwzvQAug7fYhqC8445JR7nmow9M8dbm5TOujNdsIKEkopxHr9j
L/XxIZNCXYvSfBK1/mvQ0vGbk4dEosAJ7l7EbF+PKGngzh6/dTO7UJcUr5lJ/LzusLAJInP4Mtrz
8kJTJONWUtc4cT2HaqJH7c7xitflj2ixIwqolXMbhCdvtDYRF6i9JinBLIPevSRN6wCqzxBcgJ39
dgYmN074Lccm33U6kAg/0+tXkwLf8vZ1Rw5rylrWtQgDUh8yUtqWHfb9+CWFmz53hHqfcF8m2+Xx
IkJ21crhs5pKZidFIg8DcR5vwCJATfHBSwu7I8hL45LI2HoQIWLH5ZUO/GHmepn3GCeOee4nxuq/
fwj8jYlV4sMbpbEvtGbe676TfuixvVl22aOS39CENc6a3gSPckJe6jss0jSv9UG+GUjY2tp4qNrY
usyS9OHls4+EVlPmmd/KQrA+M0Z3lxBI/lkRdmngw3igzYEK1obNN1Yk58aJnT93nvb5912Z/NCC
uBzueizsq6fRF1j+0EbzLQ3d4rWfneoo/ZQ17til34g9lnfbkWBIE5OY+UjFUkKwpEZslk9/j06L
XrYhbICxPHBvAjrD3702Rvc6UBh9do0hO4ElH/5+gZl2NrnQf3lh3e0sq+AnM5bOq9fgEFVfsGZA
i1h+Yl04BPflZzd5LA1N8qDM6NfYc+kOjXQERWA2W4truwyIkS8JJV7JLquOTeJ8aQZOh9wS9bWM
QqYmhdXvSXN0r1UK9NBzp5mRsOeq2j1hUCyPRENJ5F0sVg0ikwHORGgDAEEz80MdK+enSTb2tfTb
re5V4EhYwXKJ+XFIWXkwQS5srQFDT98O9sYfnWlD++ULYzntGQO5Sz545Wvp+cc4UcoDFNSnsUff
qkKkYheXjGuxqg5VUKwf03ibzf5Zy+wvyhiHLPHEW4fgkbicvj900Bh2kcs52iIqU+wiwq8kPv+g
Jgpg2YQ5CniXepL60ooTpGkCMJeboxD5qevxQeBz2HsqdO3fx//7ecuTl41l5LBf1GvHDnl1WMzn
5WXLDpbH577hfyw3/32QYdxHDklgS2cnGmsnqOinlMDDlV25615DqTZ77XRlXyXyDi3b9mnxVrjQ
r+KYFVCkSQKPPfkWRx85HS4mxHm2aZy+OpHBWZ1qtUk7nbluRVbeVJDDZwTtcBokeaSNvthtxMrj
EO0y59uV+nRElwv0ugHIOtslsqIO5QWdx2Tr9XfX7kg5U0/op1Se0hJFaq42y630jIM0Plij+Zxm
A2FdiG6l/qfUNJWNo7SWy4agAFLCUXnSjTF35OVsow6pA2ioj7gNwZkiJMdHtWrddtjaoiapybq4
YYMhQR0ezrJ2a6YDGpG0CVaOxoIhqfvX5cNRHa1OqD/hBDFyIE4/SfsnhXhx1lip7Ao3fjX6in23
8oXoSEKxUl4gh4ZjhRACeKo0cKOW2m55bPlr0TJFd6xqE3VTuilGivQuXA/SerDUXcJKwtZQbyyy
EHWUFau4MlP5gXOikaHr7JmOvbQpDwMBe4jyoN+WZn+zSUPOO5aWro/1ucjbE4LZ9oTDoj3hwmrW
RKRiBSTg/RSkEalKVov0Xv2fv3sXqF9Oy/08JrY/GQX+WlsejSA5tLQMD+BCii2aez6sTo7tTNd6
4whKDkkMQEbMrrZ2+gT4kmweOxuaBl6Z5JwoIbLZuiRAEyWyilMC6OlC0xCpfA2Z5/AW4xtyy9o7
lKHvn1gs2lLEp0hPmpPhI+du+pEiZE98ivCQdCaqt4fqh/E3MSc4nZZz0sbgF1aI34lLnJvXNSnt
Netm90UFsse5Z3MdEu48vPXq5NTVWdVq9T+3GnoQlPi1oQAcb8OHQbx/KBrrbY595xpkF4e0gAet
rKPzbEKBL5LKOyJ/Fdd2ADCWtb69a/AGQAQT9jZx42QTk7y5B691aDtnQOdoOmuTXJ29MHpYcb3R
3bSY5KFw7t8kOI8zuSDZuWjt6mmeanxuU+hchVNi9rPwHEwdon2akO4uIHn41HeGdQpG0KqklGNq
DFgac2lY+2hl9qgJirsHcaaoKRCHKTPrCiONPr2E9hA8pKWfbC2SjrdCz+YnjRR8AIhWdWo6arZp
lMQnY6LDgRVrXmWQ0kAKZYSj2f51kpW7c+aA4cQVpJF1dZntcbifE5bIp2UDPfrBb3WD5ax58dQA
toiR/92kGlrWoSQDXXe1XzigXnXfk2smYAERlt2bE2nbNh1pNlAQcfW6RerDKe/2X8LD8TaN5kNk
mWh5W8TauZccIouFzrZm5s953ZNJqxQ/vYlMifS/C/AL8/TvpnTQCMwNPiotL3+CKMfLWE7waBzv
7/sfWs4AZHLWqqv6aFPFSXdaNpSculPsvpEKOh5bTtCTlMk9LjKBQWiUp+Wh4v9u9X6CDsMVb7PG
CZiNKLFWocFpGKuNOVnaVndh4KT0xKnWPORGrHMmhhVZcQEZ6FkbZVjy1O8c/LwS6YML6U8CybAM
Z/04YCs4i3y8pEnpYyoImBy5XEbrzO/+bpa75FG56PvUX6DT8z0PKOXUJ1k2uaUJUnkJUgFqQdqQ
2lQkdW7zoiOSVCdIr8BkUPY6oXmM8lHAW1g2ngpkXW4tearLLXZG0GFNLz9N5HCSjjGcllv2GPz/
u8sf9AqaXOJUh7B2ytOyWdI+0zp/DW0z2S02hWWT14xji0L+38e8VKOzHoX2WqvbBuEa8aKEDGC0
8ly8CpbzimNxVil6E9YyBpDUZCiJrLlci7we15rtjscZBaqr4nTIH8kq3BnkLNF1ozTqMbab+kAZ
mhaoSYBN+Wb3M4UaW38MZIGrL6jK80ASwkpOjBeh6sFqkuywrFGNUo7VsnGYra8Q+uV/D0mX42E2
Mp8qpfpVLB8nbTiHApbrOvgDy4MYE6ffeicSWDcoZSeioxZ/wTJsdZydm5KaocrIf6C8BvF8trJt
GA3jSdhkJCB0CegGDMWqnH39REpSeExhGbJEYtDOXU41E7n+P/f9jiR7xHKYP7D26lTV1nZurYGh
VaeuKbaZFXAtjgjOl52p9M5uWOyioHvJQrM8TepcWYaD5dZ/PRY6/BB9WdNx5XfRyRKwGWoDYk4B
MoHUjCCapcWFXiEh2ga6dy3CBDDr4YhfUpd0d1mMmaX9khZpvdPHxLujRd2R9j1/04PJN7lPDJSf
yplvIxiOQ61danrS125E6Dg3IY/D33LcOb1YqHhOQd3u4jGqv/zcvMa0WF9yXJNnD+HmJn2OhD8+
FbilbpibV6Wl9afEpyFoRfSWbFrihMkZ7R5b1XQf6mpaO1JDj+k5RAIig6q3rTnQpkH2SS3WFBdD
4OHFXvGQDynOm9LM4RrmABuqRC1XXHFD8TI8mlR4t6NXQ7PKhuHRFYJllKE8jyQkmrNGpgXC0YmQ
lwe0z8Xa9GndNHFETJdWfeDNk5jS1GidEF8oUPReDHRiBI4A5EBon17Q0M50ZzxcbGDRXrI++d2Q
Gnxd7lGLZwpYMqhkiQ9Gwhf2+1jY60lzja/O1pwtETeoL8w8fh/ters87sJlIQEuMo6OlTZvTU5m
VJmIJ4S7n80Umhs/tagp1dI5AE0MVuYsXipdNO8kXRhH3AvYqsKifS+NWWzGsKAppP7qkVSP5Wpc
keNX7No8JIssw4F71GGrI+KdmnfXCU5M5/2f2kY/TSrzNiXifK/rMqKUs4vzYXySN2Kz2/uysZRh
2WQKe0zqFKVEVRrfEmcZRQPxEnZBx8KAiUcrsumho93O2uOtlpr3ZhH3eCiG9EojpSNOOTIfQnVr
imecNHheDo1N8CWt+vTUpvb0GGWNtjaFM62J4C43aL8kh7qt12OWTFjrdGRugN1P7swIlHVTc9Qj
YR7aIvuTNx2RA0VVvfl9Sm8jbim22bO2MS1EZ+SD9DvmDRj9uFb+9OGzn/aHsLL0t9GLT+2YRuuE
mMMX1xyzYzH2pOuJZ+rJ+q1tNcGbcLmMGGBAfLudkf2N8hoR2LN10ixYZUnKpdCX7WNT592ZXPzg
jwWAbdu2SIm2RtvBw6yrt4YGRxeW2R3eBqKv0bo5fvFEZ8p8iSNLvuAIzEguI4tSJsdm7Np7wadw
3Ck/SEsWl+VMjx2PpKJi507NRk68hm+NS13xlBVZd7XM5rrcAwLKrvWazo1LaqwVRmsrmKM7RtjM
fsfCs2/mMv8ZfOpsQZ+Etz4bP+uxmi60Ral9C8s9up4wH8k5MR/nfr7ArPLPuU4qklr1rc2aH5mf
ZPIB7RPKeXJEjIaQmzhwpkci/apjH9FtC3C8BCVikWKioW2q6L6gL6wPk2LlKsLY4VZG9OO1TCWC
RjmPu090V84G+Jc4BX5Yvvg+ZQun9r5wRGFrirzqQoOow8XhO7sqFTqtj2n65WXO1puj+dP3exRR
WZQTZ2ip2Pay3Wn2JJ9lXjOC1nP8awzjjVe5zh+IH2O60/oh3DM984gWlVsGsugTAWS4w+pOcGGn
+48ddp9ZjO+GH1qvtdBjlY5EklKkm68iqP+5u/yVDidNUsFUsYQz9+yMDM7jZH8Qjzjv6yBEsqLu
1s340eOZOiTm8J9W6FidcQWGvZ/dMWMjf0t8Jrg2FWDh5AAfByIqnSakVwrcIlHlXd2BiU37HolH
9GIHNALokkyHUPfcp9lQxrwERK5tzcNLsRcitP+jy/6npJn8XhQTdBRtzO9ZyCyJjDzSP7Et7PMp
TWg2NDu0icmrHY+fMBdwDgBG/TZb77H2zPrP4JS0ZgLQInN5oPhD4maLr15UgmG5zCiRihRe5BS2
p8l1nJdgHsJtwoxgr7mzSTydZmytsR/ucWZ8ZnEIqntu5dWeXSxYSfVWMbLnif3aO87wnHPOF5Yt
77EGTQ5SmAFXFYLkLLxyi7sPU3fbydNkO+Jc9fK5rLMX0hckgJ75KzMRzkMIYV3TyhiTfmtsmq7X
DuFc9e+85iNtQCTJmhOjoVW8rklWAdFNfWsCUsU5anvvcwkOhGCstLWcD4sOfw4RsdaNu1W3+yyM
COS0A2gDenSwKCUdKDPFawE65VD04BW5vpZbTcLSihT2zwqy9k5XmAVjD0TUTmENgUVywe3ZhByW
hXPKUouenihd5PpdeKR6NO+tTFyTVI8+YXiCm8y0n8jQ6NElpDRZ4aRhItGaX+34G/cVPdjBIsRE
wy9ZNL1xa5PuDWZ9gCs7F5eka7+axmieMxwfp0DVN4mREd/e51hW4b6VwngZDDM7+zI3ngounird
MWPmW1iv8+x+JxUYr6iUK8chZ3UOzPBIRhYwKsIM9u1MYc4ra3nshYXxrPFZnUkv29MW4SKmh9MF
qQx1hbh093S/yqvd+fNK2No1QaS9pV9cPVWNRZipxEDwzzeIKWpjheaLk5NJ6/lp+93GyQ41srYX
Q5QdyRPiqOiW8rxaR13RTauAPq5hAKfpxfgUzaN2A+CzX+4Jp1fZCkl7bQuJBGQuAM0HGa762PoN
sel3Iwx7l/Ptb0MSi1lGuN8Dklj89EzF1m4R1TcpaWTU9fzajggvABHbQB1e8ccQXT54E4LKVsEq
7fw8Ta2SEunnNp//dwOI3dW6P3QyHoYkQFioKYN8PI9nDVJMFhnJa6xN7llDPkfIWuLfp7Tz75yV
E+JvAycamq0/o8j0dRLZM6FxY/JMbhBkF+/UwIY9hTqwF4ssuaIFgpw65nyDUHctBEuxdixguQYy
2pH9Nu/MqAYDpBbTbd7Jc5CZ+IBa/zkzNAQwcfzQ5cgeRsdvbwxRbundsoFlVaU+Ifon7VoHTLBw
yiXDa65P3ZXihXdrpZuzrujFWxNF+xxe2GoMjOpI07jazHVbYgrhtVLUPmGl+WuqD1iPmu7NhAWK
z7HYjkFdfarO43cckRVkJ4OzndqJGVpOA4FPk13tCt6SpL5wgnxOSEVV/KLCe5dZbAIJIZI3pTy2
qdqElF6PWE0xkPUsnfZU2HX75ujU0sM8IvyD0wRGLeyWuB4f00n86BX5vyzhh0ck9vnZZmpPQK0R
b8Ky3cu+UZ88eA2hpHHRzqJfwJ73jTYeHASw2zKGo+M9Wlbtrpq+78EpyK3TAUGiXpQhDzLih7lX
/XticHRz7l61IIEVXcZc6lRO91zCRGP820VFmlxEaz3bLl0WJ9bmu6nF2WZAhE2S0RjsMnoftPDb
73ygCdQ1+X+o0dBVM9z8MpDYczKd+KkmZ3qT2Ul5EF4/rAuLAZs4uuxs56XiqYbuEWt9eWg9A7/u
gGF/NWvDvIrN0TrYkb2p3DJ7F0S4ENOargoJsotirv+jc7HQozB/rkgVb9yWWKLe8e+xack9CST9
eSrj8JwbobM3SvqpZkcvy+k/8xI8YR/k2Xl0jT2BGFzD4vBDEF7KGw5QfWub0qjaa5xY20zHcbKq
rb54MCE0rnkL9J8MlkJ8bN6U9RpKLJVpET5WSWpseevZlgKW8ZTXif7ECdzA5pZ0Rm2bhZ/dXBap
eF5ExCLE5CE5c28wrkTBPsKrvOf6gSyqM5uzVcvmXMVc5ctmOoYI8PfMOIKV4ZvZVi8ykBX85dx4
YwMP3blpDpqsQA6vY5Nd67SzjsxNyKK1Tcp8SWSdmWZxdWs/oWUlD2NHUI+eatcsMiFopzg4tcmO
rlS+cjIsCGhKgbrZuWzPRhwccSBqD0E4G6sR7vc1oxr2Dq+9Jr34jTDAOIvzm/SsDOgpPkEpoofl
oTw1kNOSLGVW2QSAM30JY9196YlGQ17qv/dx4zzG9Xs/7knfqp4SfOakq8AA67Glbys73XoldRLX
OEgCI2PQ5JvealTwN1MdwOIm7Yovy6Hjm5TiSzhd/ZRUjPYtEdo/em2sCfAMn4mWIRpeYqMJySHp
en9XEw5ykKEc3yW6JDCKPjhIOztqmt0+pwBzM9ofBw87OxloIqT0l5O3AnrsmaNBUaqR0RklzCqc
fmSnlrvW1xgahB2NQXAY8Kae4ji9TD3znLLxyL3GWfEtkRUDrSiQ2LnmuYvGGeMHRwI61/iO8WTG
LB0mNJjc8Z05C0LKoHnqbGtjwql7ZA1RbIaiAYxXOs1BUMBQtYPwumzi0WK/GBc3Pmyjxpbuy7Ih
XGQzmQ1Q53x8H3LEUHUCnyq2Irwtjo8FR9NVyE92bQMux3aBAgYiXHrIoISeUoIhNySdV19Uqh5g
8X2QR3VgLd4ztWIoSDqWr17nZbfiy5wY7pIuVNgfr9y1tHMQpGQasi2yu6fcJ9yDts+LJM/E8FkJ
9AAYuEoZt6DScir2Nmv1OH9ZfI861dokRLotWdD4qTad4q4ltKlqyPLQsAXGoY6GfLCto0S0V0jD
uE4ty8wyc2vmJlqyR2Qr+E2ybhuH7LFzbHlNev8SOmPEkrJEZEa41KeGqMV10WbLCqS8TuGbhMJ9
mvbWyQZhdCXVcN5SxPSfPDCcfhZ+tZZLfE3pViciSjHya2XwNo+i2L2xyC9wt2TFHYEJqRPmcCFT
Ry+JAIzq9FVEJIwZ+nCtTdUNzFvj3oS2eyQE7cNoIpLkW3kmthd4W+cUr25hnIqxTmjI1OEWp2pF
sSKJf8YJtPN+8MzgpR6m4cXE+2026W9aWPKqgZZ4ZAWc09/zg80YaJQXILJh9knqqzvQeMVfa6HN
6mhB6NJdk94eH9JS4VkDmR0kye5MMNg4LWmR0hrPOIPyi0ib5MAcCFX0OFI+K0GxuIMuXiIp72Fh
598+Oa6IvxCkNOFzZc0grbu0/CyqkAaOK/5YtNmdguj7lSWYxQt/XxdecspFiRvdCvQrPnv9ihxP
noZGu8ii3pKsJT/dHmFtLaP4TBbvu6QmfKCDR7mP5Ts154e4wcZUW/lLIM3u0SIVlQg3uvTMQ3O9
0b87lY2T4f1X0QKI2+iaHoXnUjKqc+tN96x4F08a5f9UmG+mg1xgnNzsecgNSvVe+zues1eXWDHA
afHM8rUlwozSxo66XmOYwaU1AHPlbnUlNmdL0UqcxpIi2dRAixeMdOT+BMze9BA8N1WdO7ECIWuC
9t1pS/u+PBRFrbctyr46iKqkZshVM4tJ+OeyCp2pGqhqIrO8TKb4ZVPSWped9p7XM0yerh4eSF0d
HwxRhTsfCyCdmw4REd3khEDmfTbqsLabEU5nU2+auMNm5+vAwxFeHui+E6aWhc4lMeu7iwRCemYI
ijsfniT1DByN2qvbyd3cCnuHNS3ZWZrlXp0uPiNwrp4cwcmEf39jaiRHmH5GU2SiOFlQVD14RuTv
8TYqvHn5as4ZJ98MYxlnypZUcsZYgnghPdeHMEyZMBglWoapOtAVQ4zYxMG2xCN9zWz/n03sN/4p
JZsgZ5yqvvNcc87LRmvhlJM611NyASGEHJsyQlk/I/Y3Ht0OiJ4egy2rQiIygXPEwGhIblnNo2c/
wtSJnEY+JmqDe7jWbBRIbk1aIl3VjQH4Y9DTT6NA2kjSUL8lShI3M7MVMniA0tLPS9DcdOHKypPi
QC/a2GZeTfggaO173FjZGrefPPQaZcNp0IZ9O43uFmLEgIGn8E7FEHk7I66fO8f1zpS0vbMfRskG
wmS91ZwyJ2u4LS+xVszPbfJiq3E3NGJv3+dD84I0hIV8C20Yxu7v3EFmYgMl21TDWAHXQ6xB/kp+
QKV+8iulgim+oSWF1wlrO2LQqbsPMSdmoL9afSevQYr0CpqxdtSM8GmaNfc2lp3zMknO9xij2N91
dQ/ue01Hmho1GjjZfPl1P3+CNuIXHFjJbrmLQOTilDMacUoEK4Ap0ckcDfteWVONvHSG6COqD6uV
1sMw/B4Go3uYYbVu+hI1UEcJ9spacpcabomdaspYnfo1rDX7IOwoeE+gjO3SQSf3KO4eONHo5Jt6
TxYpelGnCdy9oX6qEXH+9HTm09DXxI/1qoEdB/aZrDQ2442qT30CaR+Vqwg5zwG9LWmCpn7Lh5hw
1KF4y82hXiM0tj6deib+wnIea/KqEEmBmrec3zZhBKuxS8anwa0vzA78wxDryG3LNHmlHejfYiUn
96zmJBrm1p7t209F4KPUpqaXWhFxUTRTE2BsQYIW0qq6fTGN9PjN4ndchyx54vaWJYO94nfRHw0K
KieXgADLNv0ndNOEb6WRfVjuIvbqNy7WXOJ/jctYFWjW+sZapx7niqXpV9TM5ZZKqbOGWqZfS73X
IR+YjOiwpw6GFbbPY/eZa2b8ZLpt+1wyRQZJ/1k4uv4aOxyKUCv+ubU8pvUeeO/c2rtSQz6J6eoZ
At2VMkr/OZNutaumHmGT0SgCg+/A3WXIMNAgYUbtaCGG0xeF0WdraMbnuCYpvc9SDAAOguVuyJs7
jAVS87LZWs9tL15tD7HmVDryg49EYwzu33cHMbwJw8eYU30fiZn6oi4fuhn7CW0Wlu0ycOa1iEbv
R7lkzcRFoR2F2THT0TzpIKaPVOOCF7tFO22CxnKjbLxZOmazKG6Vc6DMjphsm5OpG8GJABLLHi5E
OhQbT3bBtyTI2u0q56NPhLsrpfN7cKn8kgKB8sVEgFVn/8Peee3IjaVb+olYQ2+AwQAnyPAZqXRS
KvOGkFIleu/59PPtHaUKdXUfDOb+3BB0YUlus/5lVOUJCLkm/6TM3iAuvpJkHp/LlbeYmI0fha3F
pvKU6JH2E7p9howvh24ERkmpIG/m+FkulAVvjWj1nBOWWU2wOt4a4FuS3MlFMlDgaGLjm0RwY3iW
mhJFJDsMf+o0kccmeuhpvQ6ZMg+HFPyVevrobkObMrOhKNuKShv0ag0VJEJG2OxasYeJhW1qWFDU
HQk2biDuMMEzAbZ7h5zBVAF/MhVrb1P7OljAvtjjUMZrYo8pEJXJg/sdDZr32ANw+V3uEslUOd2W
Js3wKwtAWTPOloCHGxMjO6mM+x/Hhf+H44LmWSgE/9f/+d/XsIN/c1z4rzb7VgJU/R4DcX3NX34L
rveHbVqINXUPx264Exga/JUC4Zl/2NhRga+Z1LJcy0MuXVbMd0hQsP+wVFczXc3DK98zxKu6awyE
YWDFoHG2y27MyVEb//p2f9kQdP/Y/j2aQUc9+q+OC5rG26kGk2+N9g7t9T9E203S6GatD+aRPs71
jQKP5KjoznFifclNJyHCN4m2k21+EFPlkLZmaPbR9loYfQ0mXNRiD5G9PLt28dZ5xAfYK61YhZZK
PDGfPc24VHQAR2PFDkQ3EhuOUh640WVQlxndEB6BaeiJIaHzGi3pvPcUpDEIoJmouTgQ4XliOesl
iN103ikFY9JcW6ydTkVoi+uYX2fadyzzwlTt7tQyGX00joDBTmoR1mQA7lXOT6YgNoGveGYh2NWH
NP6UW+EBxiXSNth6Pq6bqIhn1doXOvarmjn7tmrz6C7xg1kSGpyr2zYr3pF7xZ/rerXP2C0vASPG
Dhq/eV+41fqQJugZs25Vg+4RJ8n+jsHyulGdgq69yrxDlZ+WJEuPCfqlh9VS/ASlkF/p6fwJ+y3s
76tdnyIL8lS86HTT9rBeC2cfqcCfpeX8GTpGvsf97qu3UGUl26o8T+sZ42vLj2Ey+fAGw8097rvT
sYKm4YX6OW6BRkcYLXpKn5IuX6ZCf2akh4thEb96a5MigBKK3EIpuax9S3H/Z5jPmLuGD5TDwqBR
M3VvjrGCvo9+DrPJQzYk5tkGVIKV631yqKTRm9SbacAXcTS11xAG5Zb0qdYPM8z8omTX2jaiUmsk
QUipdiYmPvtqsi6W5u5wmt0jETqNlUGCvGB5gOeGG6OlzKBlLiY3JaNH0NPFjyzvpUb9vGnatsW8
vQoiu04xyynfkaI9VV17dJhcty5Z4E3hrfeh4uDZ1pPsuzICPi7gnnrUnLw0M8kJifNgVcv3Rjl4
+G9+7tI9cnLyF8qPtOl9AIWnvt+ULvAcEk4SMq35PRbBrLmt+VNBVbmgdjAB7C92DaJiu1/V1oLj
1yKU6j3th9Ikn2FqIjl8aXO3Ojl5we/SnG/mnL6ZLjZxEM9mirzVN2dEaBNNjJBDFyZHoijOAcnY
BUwv86EUhGf0TFkNo1bHI8p3ephuc2O+qXXy54pgKNArSnRGbe4mhdhHoq7zvA7StR83aLsRrRYE
9OmRdczCByWN5q1XwOo29INe2PtF7wNA8WTTd5H35BTjwVD+tNZYfepm62NMcnMPIHdIy+4HYe4E
r+RLzB+qP3aT+5zHo7H9UqUu9tx8683g4oCpwkycB/uhzXD0qwh1YnrCJIAorCzF+2HqfYNMiyCM
PzJqqhvgedqPGktE3XgnaCPdjuEE7kpZUKtb39GyKmgtqlMNwRwTFib2BI12He09k8gv8YCZrw1b
c+aBjvX8S62abwAXSKqIVkqIIql7HLTIk5wu/KaKMjbj/aeUJw7r3zv8vu/DFgs03RpLv/SwzJzH
IYAo3O51UtgUF3Ps3Hk0FW9rRpO/NEN6oPg/bMiLpZhPXjbU+A99pAy6FEzInN7dLnnyEinxGET6
dIm8lGB75mlkUHnzRhszdMjl9JPMP4qlefNmQSD3V2ppCv4XREa/d9gp3JttewzfGnvGQJeMgZOZ
DqBucDmSeYHo11s/EbMhYiTC8hw9uTWzgixslGdTx1Xe+ZGXqYudfWpuE+zNKc2jt4tMlIQRofee
Oh6LMMdso0X06kUM/4hMpg/gNjehnTDKtfxkdd6mcnkCoWBIzpD5WCMfTadQpMxC9iAGlaIMN6gx
zpdI7y1/qT1Ef2sVHpy4gm+8Qii3R8LZdSqQFJ/m92lRsES1cDpWnO9mcsG550dmTZEfZcwgiZ4P
Kjzfdm2sa3uuGrTyfIcfzicSU/MdNU0M7smMx6AROxGXYDatU2EzlHCZBPxNoSBBrqckdyhhMTrM
iCDPSXjMf1SzA7N5ImI4cmFKk+2OBkKFmqG7fpM7BCcMI9NDzz0PU/Sk95USdBk6JdxKfJTfY43f
ggpb20iS3E/QD0e1xsi2qHvMvLp8P8NTIf78rgg7MvrIWlgZnwZujt8Nfr4KhQJomajuuaFjxddi
Kov5FBMO2RRfQoBvOrPZ7+MuAWmaDKidtg0cmepBhWPbAjl0pxe68o2gcv0wlxVdLAFE5D8SsDzX
b0niuBjFIVxoqmY7d/NX/IqRKOMX2uO/n7sq+qUSIbNarohs0QpaWoYddQZkFplnGgMaZfwL/USf
9jjStCghafG8TcWEeA/44m3Hdu6D3LC+uFX0pbEVh/QLkP3Uwr9Qs6CApeilgX5cGyuz+xwoZD9h
eBNMEKrxOc6+1cn0Oa3a9cvqHjriOND8JZDJM8r006GMUnLvXP6fvqS4Y48HFxR3Y87NpxKh2dby
TpHRNQFi9otdKfSIdnIKXQPuOousTpgkYtwya96X0Y4/J567i2BZJba3V028td16vGtTRMG4snJl
SZbe6AamUTHNrhPSq2K8w6ei0aUHGrdT8wW5aRXYAvWrV06smbv7I352MFdPZbY846H8ye75jgoN
yQYJhnJIRjMAB2ovNsG25Fcuj0thv0cNeFU7T0d0Ft7ZijAvrDzItSp0jZYHuUIBigAphu1h3yVL
0d91Fuk7KpPnUhg6J803QqeLVD+XoQMmXps/PYPKMOLjCqTrc9y0kBQr2lww7nlCI0VeB2F+SvxJ
X8f8op27MuLhs2bjAv/vAA/XRgBoUNvlD00G70CK5J9e/1rA1YUsUzGtwj0K+wuf+JECy94p3CrO
8mCRscGNl2nNu62SLqjAtdDQigNc4siYtsRx9gXVmSHDKIAbbgqHlrbF/N6KQliuDl9Hper8Ja/3
9pDbwfrVUft3VPDFnRq6DxWjt3NekE00Ubw4k8fwrqUNUlKdTGq6xpdUUTzfEb32EIXksauqd0r5
A50QxqETdWgei+4rzi8qgQj1xUEIz5kvTTbG+Jz/qTc4aqaLta/G7hhO+TcTslTQCSp5mYE5KA6N
VQfb6OAQ/wes8KjrHmnYOSPBxFxeFyi56MP6GTVcAwDTdApGvzOaorJbMPnVj2mrcHsMhGmEMdEO
MMIi32vgVU5Wsk37GPJBFR5dZ8V9AJWYDyHROzIKHPCaPc4GVx2Td25Rg7DhsTACb0yGu7pbk4BK
fhG0cQbnIvQOA74lfmFgw6gZWFRkQF/UQ3b56t7TL81bB6kQ5Ay7547kBs3L8FVH/70OL+M8ej7S
BEAKZxvGqbPD3At6VqR/tZymxvYKnYKg8MgxFwmfQGwuf3UKkDDj1KykdUCdRLPy4VC49l2Nkcdx
sukCF1Edwvt83rYxaKFG7GxqGQlmVpkZYBuohPEnbyJxGrkiX6lRn9a8PvRUZOIEkoS1alAMOtQw
XIS264+DZrxCB1mwBq9rTDNCinSGzVBicgJlJFFiQhJDVcXaW56lBzYX0y8obG8XAyQCF7Zttn6l
5M2TnRKhoONdcHFW510rmu9kMILdltF3EQSijyF8J6y493NGXnCaz+cFIwzAScKwCn38SSKlQ7YZ
VW6HOi4afAK+zCYWwzaT4SZDzdCc38ZqMu6nn0Bs35bYRv9sXAqsc3DwAC6PB+MrZYnDkPUmxe/+
VINB0bi5O4aI7qmpPL8X1rZpvetAHo66NrVMhgZcOeP1yWmwqMiLFrTYqVCwzi/ZWA/BXDfZxupN
Ej5n12DWQaxHq8L7tZ3siRxIGzlq+rw6I74lPdgF+QPNDknOtwQhbslgRfSGUYZLeCIZuHaDlvHo
/HCdCCb8oG1GkhDCqQ0yd1KPdj6eq+LHGnvIGsba2diY2TNzVV/wrLYSOErUhHfYrnwwVnpnpFdC
4mTSgxEbCUiU6FRA2mXotv2MuBpLexigUUgBv6J0rlj2RocyOtpjteO2DosRm2imLYGTLHfRQtiv
NtiXAccUH3vwj9Weqt1CnzM4pbEtYYX7XQcC5hKLG2JzYeyyeHR2rmYQ1hSDRSKS/mSa2BqsII2t
hQMGfvnnjAfw2Br6p3jAjzZK+1c3jinXjul7QbCeA9XjYqyQ2QoQSuF1PgbdMJ0hqEge2UWJiRad
nZ7bw53e1AH2nNGuh7Y2fuYYrmGzSiCOdnHjnCmiN9pEJ3vbHJ85sl9VmHd7M+zugMuYxrSGu8Wj
5Qir8y6kQKxkarJ3G+NL5GCs0gxTJfLr8diePq/MwjbOeLb1T2PEWCJCF26Us41hDA6qC341kaV8
GNWeqjAy/W400Q9gultxI+/MMAxapdtnifI9nYiIAAuAeFbRw1kGYxImO9p2cGJqepRVzG3PZL5f
4pOL4/mmaxp8VGNuMV2LNcL/sETJ0FO4nQD6S+zvTQQIPt3pT9d17uMOXaAoWlRZjZfD4r0lpv4K
l7d/Rsb+pFKhCVDHUZAw/TSiQMeVyxIidCOm7CXCar15Mmtm8x6kRRr+0A6ieoF5VH/TMj327STz
drZIUU3XMkjNwfRxh3nxnPEO9Vp7QHBK9TNuQIYJV8cGdlBf0tSAA0fIRIOFGJz6+KwOSUZNbx3w
Vmq+LAus7gVdxzZKrO+ELn2u05TLTpKSVaQBulb6PYZRhhZYmJBvJ1TUMFmrZddkQO2g6lmGscDQ
ERgdU+QxqNj7Y/XWd9g5Vok67lCkTklcnSuaggS/jT3a2Gd3nsEnzfqFiHVhnLFNIDgzRHhQ4Z2S
xdzT52XBDL12Sw2dnIb0o4zi15TCyB1EvcsKnW5DfzlrPz2lfYfKS+CBujPbtdm7IC/4wUxbau46
fmXDnSd4uQpJynYMCq7xHTeD7uIOjBYECCI8Rt1DiSM4+Ud3Oo5s/jql9446/RjKn/rkob+aiPJQ
cVMKYVj7OPZb21mB22ujl1/DaQzW3tmV+ENui4jUpK66d+wpfAzhFcTOLMQHBpEXGpFZg3tRE2hr
ZqpsQcl5Ql33KUeueSC71y96ZpVuozI9XYbpsAw2jjv9XW9aiKcHMKouhj7rqi/UFBzodetrAWCs
ZKFfpDQuFeT3rOj1Q8+Ix07RhI/E0QRt5BLq6Nb3iIgzOlTmTUZeXjRLMfe9u2i0p+qXevQ+twZP
mt1/gbK67gxb/5iqiB0guYvZwMhh5DCAA1O/I22DQl9RF3AxaKISTDLUceDZLPB+jBsEUpjNYQOf
R885AQnMxZYLtBEGTPUycTupOvS85CuFku5Ji8Gu03L6tlq4KpD95BgErhGccem9/jlZ45fVILtM
72jAErMmpzFCo4YcBxsLsSoXafEjG9zqqCR9esAJalsLyYxcaDbJGTxze7klRQoNbnt71wwfdBzt
lsJRj2Fceic9X5VdOOCLCcuEh2Q4dgVGWaFQMVmLSxaSXJ2I4ujB3vaSU9Vmw0FOJt3W9HZ5NCPu
t7uRkCkseJrpZ2ngrRJrmDpFevzQOTrZNS2gujtiZ8r0ThtRofS0yMi9H+zYGr5PaGmR8dibkfTK
c8earw42fJUcEauRhC7fbKZhanL+z6j9sJGy2MoKYGENtGgaomEaiK1W4Juj6dkn8bhuYi9btsqz
6sTmRlWnByN0MPuzGUNCzwtgxhzVfgAE0hKmdOqBstryFCoVeVPdlpjOHrJ380FTRPnAsC+mW5yo
Mbzb03RfRcoUVLhOYOhyrzvnNjE/T4ab7dcEYju+NZsCo5GidmHOe/rqq+o7EgCVHzFCAcyJd1hc
/Sn3UCj0Tv1G93DW1P6EQQ/O8ykhdy616xA/STgemblva80LEH/fZ7395tX6VxI7npq6JnKsHj/g
+jfEDZyTqiDY1daGfdpEC4xVjMWMnGZlrUnBsYOMm1Z9GLz2oi3UIR3qVOCz0DxLkujqprt3FtU4
WHn5vCpbhmSPo4XNUdUTRNM749cC/otjkAE1FUV2mqbhmCfYjTfGroWfeBXHuc0a7qNcuL4jQzT0
u2VRsAYYzRpbE1TP8xCT8uKgqtX/XhhlScKLOEXuQ4/V+YoxC+dwRHfTXIxbHY9yKciz1+hTx60k
+N864pbic1e435MR1KTp8i5Y8xJhtnhCbKGSNVVXp5HpfDcf7FOVIJLDeGlGo1p6RJHlkxvACPxq
5CrfDzsxOj1xcMzXBVN9SDLymyvzOu2Tlbnf6mgrQAhftacUSMYjdeh9Ehn7aMzeK3N9bFOG/K6I
rJGLIkM/sLlta1wonPLj4+0hXpDB5tevnOoHEzj9WDEz6pHA7hBvtvqMyNDL0nwzzraza8P2EnV6
ilGYAHOYbTbH3n2VD6PhgGjpI6lr4rfLjyBt4te7i882oOccF1JxhjNuWudcKYu9/MWWMxCFLv8H
uV3G2OE4+vJkGcN3bxTMK+CTqePqWiS2hHGTFPS184TBuclwivkYAn6+EZOxaDqZXn+ckqzfY23D
lxTfVLYicrNqjRVhAPOmVlwo+dUp+ZMEbTl0MWjEPB1zf3s0D9RbegzJq63rCI/xAfYo5kOPfRea
u9kSOu+5EAJhmUijeEhomtJ7olJRnkbYFHFdjXvGYLQJhefB9U5XYClEsEsxK3vD7qACJ6l6VkVh
W2sHZmRzPG2l7E+N+gKBg2MHxYqpi0jcRSMpkm/WqGUuI0KHBg3ptqMgsxISxQr99AFKlq36gIuQ
MsQIQ7a/mRCTeWWHT4q8hDWQf+MxGs3i5kTAIR4bYk0u5B2nJsrPVZ2L7VKiWwFZAWB21fxwfVTk
8yIWuk0wGuN09OhClTbULmGgqVCpebyY9NzOuYo5q8QIYS1hT5wOFM/xz0L+fKwXvLLn2vqziAb0
orl174IU7KAEI5wUC8NpEcz2PPJSV2nUjcs9j67MT6GV0PV2VNVzWhu4AknHUJ3JFV5bebjP5jQ5
z3RsgdYz65EPo1zU4n6Wa3GitIJOiLE31GDkZEl9lURGQhy5ilvjY4CEW2A3URmnqJ6N02B/VjHN
OMrroOcuTgHyioDmuLryoYwWU0E7+d5M3nLHVG+968yeGJAobfeRuhJTaDmBlRTYK7nGRRWLJol3
g6IvO+g/X3BnMC6zu/x1TBOE9dR2j85cWXcQOJHRKurWrZkwFSASKKRBuvLE3ssTymnuzroNe0wc
03BF7ezw52SSwmc0yt5sp2WvZkRG6VM0YvAIjXlv8KBt2ros7keMAsfc6w4daKg2tni7KeRNXBoL
DMKaB287kQp3N1fI5/PxGWwBBLdlkKSLL6221LhqBSOagoHGJZ6ZliqjyO4w1+/eMtA9GsNd75hn
eNOHbC0ug5cDX+CcdQmXn9WgxXe23oEhAbht1njJiEhKD25kq7u0Z/Y8TYuJk3GnaxeaTP0ytoMT
4PIBdTHL72JyCQ9Do2TovfMdDEK0eniBNJHDbIqoB6Uqzm5YIngc2rAJ6tl6VD0CbrW5eK8X0B5k
2V8R++B3V3MzaJP7kbTFQyFMyJZuTPdDwxgbKxC3XrexTZ6Bpde4c2KPoi+1FdhaBwe3iSPqmktL
AItuFOfbwsHhdmO4qxaU4Z0+OvZOpFwD3KrYcy1NDuMZj8Nh7RmDRKM/CKonggYcL3Udwz9FZyjE
mpnqWwXxxAEbgOJMzGt+XeBmAQhkMTgbnD9hwiVBbBVbEhpJpEQbiM0HRsVyrRGbcu12IO5q/TSH
BBFlVEx9eUCNTUZ/tVXAf/71BvJd5MmmlnzpwNd3jarYp9HU7ZNepV1JXY5VrHCVA7zkAI/G6dSq
vtx7W7QTWhW5WbY20KRVYLI5GgzRZudU9jixuKvoScDJT1GouqdZ1XF3K9RDGy5Bzohw6bg5pwYz
h7HtvwOumLyBlvnFtPemMD7XC0+MVxtbugKuC81jZBD8Rcd5rGlVJ+F4USgmycP5RLBrlE1nDak4
ioE56BDT+xrSVlOnXevJpdhBUfYgQGofVqzyeHevSU/CWQ7ABqXFqIgaNPABGqruJcmY42au9zpl
buhDC8LIwTgAtw73ZRj/yAXNGRMdxHUTji1Ru9WFj5XAME9Glr9rgoM4gWOApI02kWGKnn/AxGi2
Bn8ZrscfnkPN2+1JOTVeUu+ruQCMJ9hl+r25fKbL1jcY/un+MoF0Ve2z41L4clFJbdqeeXaBLLHC
OTVOXmJsCDAhdC2f6RGOpMVr3qVkGKBMLA2ccgdaPAsbu67DvgRueIn9woPbxacQl3kqbPHLWLzj
gu3Srn0yFhStrgpvWlfUoC7Cz2EvHvYKR8l8SztYHzVkbBsc1skBjgnLQx/fOmV9D00HHSDx72E4
nlw9788ClhWjfsOof2IjRvHLOdiQ343FJLbeoSvFVPc7PcNEJsGnXMEaR4EaX837KY2/NiKQ1Mtf
egqn3Fg8MUSVTeVL66A/CxPcD9eKO4CWcu8JsjNTB4hiYfpp5c1G0EUIT/xHaMq7ugIxRmvebtXO
PDs0ipG1sXTC6NZ6uYeVTWH/BZ1YC9FTf1hpAHmCw23LBBe1Yw94u6pIXcK3HlfGFKPpqimOM/Zf
pFh+q6kEOKR6VWVzn1dUc5QHRUdeRZ3E9vLHJgxw98E1PCzvMXonfMY5xrP3Y3TK+yZMKSmMyTeI
G9t52A61QdxM8hi6WAajOtt6VYmaHoqOgt+DQhBcEVf+NASgEcHgjnsNyK9KiSj2yBIz9TuAwIqp
qnqZwnE/TAw/DRV3muIO+NzU5/v8p6KPh6Tjqlrtx1yvF7eEiTtF506PvrS29qzZd7gu/GiNe2w9
AcJ0JqQT4BoF5GMze+l5Uew5sGwDmchoaGeedg3W5K8FehL9TCwgHVecvsNgKjeLw5AtM9cYF+/i
VbdEBp2do/HxsFXH5WGD+GXaUHNoeMYHde926ePQHDCD7uiSvfakCh8Wu/UmMThju+ucFcNmRt2T
jlojmzG6SEEYh8lsmMPR8k5RZrzFDDs2MrmG6VxgiHkmWAUXswctPbVioccTsFS9pDydHc6HkXM/
kHeZGPhjINcV3inMYxO7dAEUGK7JheM4j+i5cMrvgY43iRjMLa5RQ6+av9urmvo58hKR1F6dcIc/
uKGzIC4JBZ2AJCAzZPwtD86fkG3mJxDXGqd4FmizGKEV6tijYgZgQsIC9QS3zTTlWSljnTBskww1
VGjErmkkFiM64cJToCOeDBsnuLmwr/FIGGNrwpNpJViPCDVEscIHIxKLginPSX03xHi7X5Vnt+SX
lIro8uRJbUHBIEbTFwvDhy52mhOTtQ6/GrE6p3V4nNuthvh527nRqz71/JwiaRktWuIXz9fRI8Ug
c4CVoeSOgS46YrCnDwVQvBihGt3S0GtUzGdu26VmkVIQ9cQ3TFR7bx+fii9CYY9KtyDKcgMUmen6
dhPaG0/BmkLuk2tygefBHdbDEN0ydCAMVRwUE/E2zNc3w+x6Zq7lF2vUkjN9gQYEB8hEUh9Fuoo4
NkIvv6r4OiGKE8VChr/2oA4noMDhFDn4+y6JRRFIWHPIBfYzJztS5n0p3CLkwoqdrRsq6aGXv5A0
9DLAmoDEsw6n/T4iqwGXL1jvtfE5V2gWt3NOcB482zaoWyEPHUZMFYVxCnMvphuJHQk9Oelwcmfe
2VD0e+/5f8h6qDUQwi81KUfffoicOiQcbfLR/068c2yDqI//nqznYyrZfvtR/ftrfoUjqeQcmQa2
CZZBroXuwpX7i6ynqd4fcL5UBy9E3TI8lU/6i6xnajDyqP/wStUDOvg9HMn+gxwB3XNtGH6Gw5v8
/5D1+Br/ytVD9Q16TonPQe5sAdSJgIjfAyAKlG2hsipnvFVwKYxgXE9d3jCS+rV23VfPPJDpkuDE
Ncl1eda/HZtDSgZo28CJxLvc3k9uykWl0YCCEAPNT94DWmZEPB0qIIosPXok5lpZFzMR7rpu9rGU
T3y5k0AaZvhiUeN9i2uxPKkt8VQUYTXlSZ6Vi9ffTv3t7W7n3A7LtRmzok07TG8jBjCYLPz6mH98
6gSqTHP/92G59o9zrt+sUxwAOG9O8Jn69b1KrXtVkThtlbw/1g4Tsi6EZ0LgCA2uaePOgXSe7kfu
lQvH7v5lO6OscpJH4FLBhLTIQxKvlrvyUStO2otcv50oN+Xidub1dPHC3z7gPx3+x76oJM6ty2xI
T9FmoGc53t5Jrhkejn9qw4xHgEIzFJvVvznIpWLnbZM4Xw6bdKPXnYNB/vXqdc71Ut6u4j8uqtws
5fWHFkNevO1AULNrKOStCRi2iJsOzlG8gaJDmTwWsJi8Cauijv1WE9nw4kS5T65dXydvaR10Zaf1
2r28Txe5Tx4uUJo0RoySV7yWuYTL1K1nxCk/83aePpkP9uBMO3ngdvPLzeubii9oQMHSlHvpEmUm
us0jZf5yjUombTwO+bdSNPFL1IqGXbTpmVhIByy5aQqvIdThlZ8IyytUuHF7kKs9biZV1CC+j4sy
6N0SEoXAxeSCqdfAeBVYQQuH5OC4RDSIgxI5k2tqRhhk2ap7CQiGNRDJFRW8bRtthfbWLt8kgicX
MjxbrkloDwQa0EggnACcr+tSu9srNhlR7vBK83DF1LCd4pFyk3jEcc85SMRMYmqRhNJ+WzWSRxl4
izynCbIqZ8QjTc8KuSqd0KZmHo9W8WBHnoWEVL3In0Ony0fIVdcaGJHlBUm3WOiSjKA7evFJcSLf
SVP7kJoLyTy3r+8weQl0kb16w5NugK/cJ+FPucZw+MKkyd1JdAmkXYBpK4DFRoLAyFfRaS3do/wX
MOxrrrCt/DR1UBYogGBdYtC2eAnjEry+kfcvsK8m5xcAGiUCC7Uo2wV1Bm01z3TnhCGu49dJrWwW
hEYrZUyeM/Q7jLjilDu0IrDGl19KXhNTaf0hBD6Uu+QVul2rcIf9RXnKSemF/JcXX2rG3WSZiU2C
jJvTkkKWakNRvFVJdkjC6BiJu084sXlzQ2SmuWIGBBYqfdnkMblmoirTzVxkNDAkU8QwTa55M07l
1FoYdTax0m01Y/jhyhFeLwaURkYZZtOKVbldrumz5mb1FedXRgMoWcKYEtqUa+ipEm6m6E6WojQB
XuIlOfPHiPGnBPojbBg39sTI1IKqqAr/u0Us5Npt012ZNjEx+Sl3DUP05gKMkz85cEtILNaFgbsz
ovVyg2djmDt7+ICHOXNfazOnvf/7x7qo1Pixf2/P1CopAyg1XJxfv/D6M+WQ2hbj4LrX9CMKzxuA
K3/lDcCtTdLMzXHczW4b7nFOWXzVJKda/nL5cx3pTXZ1KJM7qgYigTPpBwngDjPJcIOewgW+3a/y
7qiyzgOcgRNldKLzv1UXPBHjEhsaxSOaQ7kwzeIeWQk0+lahBRZzpNsiArr0HYvJvrwqldtMIErj
g/Q0nMScAJf38moRmKqEjxHnwbaFkgUR2wiDXfb1g3CUlAvVxUxRgUCwg/oC8Xk0vKDW+zpwxD1v
C0e8wsnIiCgwNQD0nE9yX1gu707VpztdOMDJBWF81PkqLBWnuCD8aLV6FDT0jrOY4ck1x8W0D1ZX
Ox9b55m0EQzpS9f2wYO6U10UM7cD/C2gcBbjDG9OgOLbSNXov6UznrzBr9tm0wOQezGPd6QFNpLp
v27wVlxIuVgXl50NXKmNLsF7WQySJSsJy/eKSv0I+x2PMN1/2sRJfF7e6z0T9i25NMPWhbnhLKt2
koso0l5xciQsS5RMVFF+lQtHGOfe9snNai09KHHiiDxHHr5tyn1GGsVY19tnuWXSQ4PciLe+rsq9
v73PddUFZMXibTmQOaPs2q6508U8Xs7gdXjiR7V7rHR7DIbBgeSkwZwmFyVClIRV3AR/Htk991ku
hpJgJ4yCtJJ5oSl2XlflcRqVT4RgpNAZWxv2CuWaSZRl2kjhW8pVuVMuanFYrimMmuk0xO12e43c
HB+NAevU2yvlXrm52KL8k8GS3NSdXTM0EduJeJPbO8UhwSh6YpHmxgCFGAlxuJLjGbkay+Gl2JmK
NbmZFRMX4bYtT7xtXg/jUsXnyDPli3C4ZIx8e095/m3zevgfn5beXmNBMt/3Q339BvJ1v33L64nX
93AaHH2j0NWpUNPpV7Po9LqJrl9uh7oJbT2kNiL3ycUgjt42iZH+62S5dnut3BzWJj7llgibrk9m
5NCxylWVoBdAFfFWiim6W7l63Xt7n9tH0SOqxFEDycqj8svJl/ynk397x9th+ZLbpnzxb+8vvp/c
Nye0FG5y0EXnI6EbubghOf/YxNfd80FcLGb5ol4tqr6NqF7dFqZF9EZoLT/kLkhGdO8ohn8/5R+b
8sT/dh8pJ5jgDpm6kecZcrxw+zj5uuun/MfjA/xmv7Eb6D7yG//9Q+V3l/sIyqCRkqu3c+Th1kh/
HbmdLs+xNCQlI+BePRkwsMmbEW8sF/LPm7DOhrqlTcVOyeznui5hwuXDGGDGySCvGMcLjjPOrhMl
PUsMhBw55JPbt8V1Z1tqocCpdTomMS68HTfEK69vKd9EbsvD151yW11w+dPKlVq0o2xiYi1IvVHR
YU7I4Pt8gUGtWP22aUGL3DaNtqZFNXrbiBqqiZcr9BPR7c3mOj1rcxc4S9MdRhNdzqC1pNeLATQy
fIxC5VhyFWNpnZx3CtqtIMjiXLENB888eatKEoJYi5sCazyxZiajs2eqj37lF0x3xc1S+IG+Z+jE
yeeYvfjKWdNp/ws5xJsTZvxxmTPkkhhnJDpxuRPDbsUf9c7cwOR40kXJPsdJlIia2IXl0C/7ERcl
fNRZDDiQHxPEvXie9adUzFrkWgFPGr6ctm/VUsVjnMXkEHLetYa2jSrru0TRRjEPui3kPpsRQmBo
eM1ObpegY8BRquqo8+gdJYZcwaJea9Kva+u620J2x67oieUCbv6IEvwVMx1+lkQpLTGukn+MXJML
eSDHnBfSU1gS+gkWel3oeUyd1N2Fsm3sZcssy/QS7U3lqtyLUvB+MeFSLFM8noik9hg0J/zeCK+J
f56sidZavkwekWtWvKkNLgZyTmHm/muBm83vm/KA3Jc0Gh4z3mwFCHlHPBFxD7ZTs+T6QuGW+24H
5Nos/ipvJkQPey9YAOL6yrXbAo74X9dc7pObED8Zj9y2r2vr8BjjULDLrrMF8YbygLxh5OsEYN7b
prZbRZcLA688MTaE1vD3piK7yFhO9jpxvEHtKmhwv06NE4hJobp4/m8n5UayTxKs4kamqh7yoO4w
CxIBtiH88VSOGBxp9f9l7zyaG1fWbPtfeo4bSCDhBj2hp2hESio7QagcvLeJX/8WUOe2ztHtPrff
vKMiELQqkAQSmd+399qseskeQnUAdXdwnILmTdmdlw0uy9nz5iLNH4lcCQTLkWXTIdRlEiHdTa93
5e8BvFr0N29jGCCUcVviFIMq6qqHFBk/1JPhYamZQ9UG1P9fd7tFsvJ2f7m1vGZ59XK39JFb/F+x
9n9TrHVd82+d1Zuf6evwWv/8c7H293v+KNY6FrVa7NHCti19Lsga/1Ws5SnHdShj2IS48gRl1H8a
q71/uMg1LaD/0nLQ6vKm5g9jtfsPKYWwdP4egJ25jPvOSP13xmoc3n+t1UpCO2whXKkLF682teO/
1mqTuA9jMXnVoU8KTKxMFibRV4T7ucxIoYtHGTkLgVTRCvH0fPHQenvLhTQ/iJ6Od4aZcBU0VbzC
ABKsYw1xYAzluUD3slGJU52AAKarHTJGAtiaNjj1OQ4/t2BGm/TGZiiMFlhhvcYkcu4aEhe04Ktr
E6rVWi2iedvuyH5nlm4CedmIKnzVUevvG2fOwVHZMSJ4McLafkLcnIe6pCfkzvCk4mdSEPcmGyve
AcmOgZfgEMubz3K0rkXJxxLIl7v0K9ULd+PLbj+OVbtRijKcFzoflakHAPT8q2vWcBJgoG1rA4eA
XwN1mPyZS2ft/cyynos4PelBjeCls9o10VHTyVYB7Rn0q05UXWph+Vvleis3YwrX6RNDBBFfsklu
RhB8tf1UPLsRVKrEPYPTpdk0KbGG/d8RwYjnZyaWh4i6UYAAJIu51o8VgYJToH+ZoI64Od6MybCe
h8Eot8yUk2c/cL5E5a5OL2YN6mJom3BbS/Fzyp1hHTvlFYueIHnAWzPGNRsjUzqtouhrByYx0Az4
qTXKikyMaxWBz7SHbeYRQM91EIRzu+MY+pUMRbE2Swu1adw+l0FprmzBb7/TjRaASoBscyS1xCK9
L7RBj7jBD+SY4Sr3MzJmQuNe98bdSrpm7XlJiFUmJCyzL1a7RyxEV2jswwZIyC8ufpvUQU+lm9jJ
CnQ/UbzKJJxXH4ym09jVuqnVySojyGpx9UPMlCqLPv4msZmVWHF2C/mP0CZjTHDaS4tCkcKEcc81
outNhyCt7iJ8LwcPnD/3URutI0Qja66Pa5rQYKSSvF+poDmSpnk33OxcKNBY+re6zG64Wx4QlaOv
9XE9xzE/CiDar57tH1VpX0llnYrkmJomjMfka2X1GPmK4rmDGuXQBP+Y9P56hKTSYj0ww3DjJ/qs
zNIOMAf6dTRnHvqPdEweR9Pf+g5ihMTnk/cdXnkLnUYDNamkirzLeoOrdjWR36sHQIuQ2gVauc3g
i0OaLQFEYb7LOMdXZT8eimGQO7tyDl1J6oynDeMRRh0wBWLHxWjmeypgRD9WkJlLcmBQyb7AmUTZ
0bbV7CP+FbtPIBRPDb6rbeEJgkU1CAg+lBAEh2R+P3d1MzzadXbOdMRlU/lMiAhyZD+Ffge6DfTZ
R7NE2jFEv3Ac+xmQ23SwDr47uRSE2uqxsb1DrJ6xOjTbdBQtgj/3Bf+hkyLKxra4ptsa7du0ROPv
lcWaNOozSnlnG5gsP+JMz9n/CvYjs8smYahJ6j46lt9qgAo362qmIYpGU7s6DDq7ch7bSPbQkAQG
8cYXn9QwFrtA75+yyAHqzbW/d+hWd8pwV8RG5Eh8nLre+DZqNqkNYJXs6l4xeT9jl8bJgAoeH7gK
tqGZ19s8KuU+K/AlCzXbe9Int/LkIWOqTDhts/MTEydP1047GeqPXj95O1hBQ9UVaz8Kn4uwmoDv
58/o+KtV3Ga/YA/gPJ7g+qtQfHeiBy2jDjM8+xgDe1wdOvMbnAuBJ24O+dQbTw3XXt0NMz61c9ak
aYb2Gp3NxvX176TUEkBjkHph5M9RwBSkhwOytjrfPmGWcE7x2Itjbqtt72YBufPU+lMIUafSmLLd
wA4s2MoFYEkkAVgBbfpBJMOGgImdqcaPsQAwaAssSb3l7s2gbXFJRHewaqhoBAabwne5bji1fTIM
+k9lF2ycDGUIA78hxo4S0Ig1KGVdhjiwPUxFdJLUJNeJH3trjpbkbKXpWgQqPKYIVIpksOCvDiOD
DuMope9pg6gFGtGsgMzM5pfhkPBZ+rQnmbVrpyhtLCTQxk0jtP6U91G5TrTZiZxW2SlMO32Nfpkg
UduJAcxP1zYW+UGrC5SESsdglqEsmjJyz0bouZUHvz83P3ndFO9N6Xgn1VflwSSTBvcowZ65ghtS
S3sTtZLs53kv6nmz3KqmX6ETOw/LnawdxgMH2u+9zIn4Jrd51hahyZkQ3SH9s0BsLDerCMNs+9Hy
SDoKbPOl0EH8al14UIIAhloa93FeBpCD04fIyIkcJHBlvpUbAu6hpppVG1soe6b+V0aK9a5QFTUl
QvNSHvXtdA9Ln3aYIRHmKHmD/0eopTddFrVLQAnxKNJgTWENJZU2XapRN/8P7fPzfzMBNS1X/u0M
9NNrw5IlaIv8z3PQP972T8WAoMMvTIs5Izwe+DnMAv+pGDDkP7CFziqCP01AJTIC3ZCuA0HYFmxp
4f8xAZXWPyxpCdNjVuowFWXv/j8moAJBAn4vFRT58cd//oeEEGRjwpznv4IpMCyhv84/p4JEKq3p
7HuiQ2HN60QdmSUe20AHl9dl+ZZsurWEUrgCWJLs8VWecl0vdsVAd7op3WqHmvsQc55etDT59Sfh
xR8cor9wh8x/3TuUEZ6DUxvviWExD/+zkiGwRpkyc5V3m4VxNRXyknpatcLHaR0ZhO6F9J8sUVAH
LuKOBCWCnxym20QvNHLtZGjVEzJISLVBdeda8dmfUIPqyoGJKQZiV/2IadWc/GL3kGv9b/9m9+cv
792XS2QBubUu0g6b3/+vu08aezLUhZB3ALXlF1IY4ms1xRC78GxC+5K4tbE/3uj9d+bwRQVQ1GgO
nTKbkHQzlNGZmdxDRb/3SjN47WoM724rPnhlDSBIcyH0+NkuMqr62PcN/DijOfmzcdbHiWiWunPO
tPT+bz7T/JX/9TM5hjSEPi9XOAbffyYDJgPJzql550DP93WjQz2onWCHlAsIFA4aJxQW+RWDILGB
tHC/qDTaPiHqc+ljhXGrD+6oqpOTmfOcUVyl+2JEUbemXyWf7JTQpSCHCQqXdPv3uz6fNP+665w7
kjOKs8p8dzTl4BK6oARLI0p3rdta/KSIUARSQgc58hHKLIi4KkQRQtowEWxfy2bdusPOotV2iPHL
bKnVRPsxmMad2UGKJLY62lMcgksTRSctNi5aPyetOg1hqjibHl3NJKx10E+h9KgIOo1ax7hSH8jJ
SHccG3MKZjixuIAIaIoGVkBmeNuKoLN1MmCyxc4Q7bWhLA6O+WgFM1tIFsFhAuB2L7HqVn7LtJMs
wCPq8GsU2t5l2SQQ8no721t22M1V/AtN9ggb9pz+Di1O+izVhqBQXz100Ct3iD6BXuguMcLqLUPF
uG90HyhGLOKd1Nv+cbk1JP2NfKpkq5ta82QaRnHVK/9YCA8nMik2w2CvBjt5sSdJqMoInVsT8IoV
ntgjVZl6A3roh7JJlyFl4LORB8NvJGgowFhmTX34+9/b+O8OVRsqmsVSHniZfLe2dvEU0QpltaMZ
lImcDioYlda9j7iRupYEtGBcB1O6x0JByYgsk3QcoNBFADVyMvCGhkW57zxoLEk9EZot7oO2CWga
rkwP0stUexfPyr1P/2a35916f4bZHgMzxlT23Hs3atiaTnK5VYv7zP9i4A6fgsR+NB0CMAw7c7Ep
GTE/POB3hGD5RdLnjrTkufFYm+vGydajXy6dzsPgShNDprfScFltzQp0lQq7aP/3uzvXQt7vrilc
k0qK7jEsvB+je5xTSZWM4p75bnXTFR421lvRgLGjK+bQyrzaxHBX6ZWfBTjGswhIPEjc9vj3O2LO
CLp335s5s3Slq7M3+IB5/k+yN185LZcmfqUu70mHEPJcf0pDmCk4mFg5ad3HrP+SFLnEI5uAI4JB
3g6G8bh8lTRZYdMMKYBSfNdUQdfBWtNj41hWOQr8Rlgbco/JY9SxKBPuA2kcDEPUP/UQv695pR4G
X3i7wBfNunYq/axpuXrQ4vRznODB//uPavw3h4g5o7oxLjgoBt+PZIbUCq/Sff3ejNF32ZEYObjI
N6badDZpbD2pJvllk0qgaeDbSigtX2PbnJ2b9taIIPSVMRR1AOj1MYSMbrRIkHEnjfuJeJhNRcLh
6u932P7XC7njMLngmsE/xzLe4QNFGWNLM6kFgO5wKXlESNkhneIV+V6q1nl0LTwrVQp7s3PIT+kc
ncDxOpbHhpl0l1g3EYK/ksX4nVAD9yzChOQEt/hKXa3HIMuPguUZ27ARPw6TqQGL6E0QLZ/sNnAP
xPJhKS/IT875H/B0mg+hZ8tNVjbhrtbNatULEhSIPwU0U3JyE2bnGONTohvuuZ0rV25MwK02YsFI
+l0+uf21clEmwWJ9jMep3ei5ccubwPqlYSZlxSnuWuc8mNDZH4pYPC9pQdgGa+zFhXywGuTGeTYS
Pk7LIyOZQM4fyqjNfvf337ucx4p354RDXYyvQSJHZUD56zmBn9zvXOWJOxZGTCPO1D9BKy5OEyto
/Ib2+KR56CmA1KbYbSfCSwd1tAtFsU7L6kOmS3/XNfIBuu1e5tq168x2bSHOXsd60B9jTICBW6gT
dDwgj5AdXG9XVl25sc2Ze9IyN8yVfA5y24MSHz+ytLNfXFdbp7lxmszOuLhFScuS8I2LAWVwAixU
usXMxoBA67VEs4Rdvhu5Dq4GamfbDOzP0Sjq7t8coeKvotl5Iuw4Jn0AqUu+L0t/901po9H1ti/F
HYjvJ1mBCXMJxiaZoTiRcC03LlUU4jLqirJAlp0sJHlhlw2rRI7lSRH1g51aXXLTUZu//w3t99MW
W7cY01g46JSdXaDsf/0NszYw4rlUcR9KszjFQ9LcPFgjJPl9gObmnmtHO4+azFdaiaFFYLXYo8SE
02NTA1sO39IkAs1StbVqDc281K4sVhFu8rPyvctkzLiseZEpEVjsJHkfOwiVCS6WUG0Jmws6qT8N
5ifCoBgTBzIpptKWh8RpX7U8Hci6XeXaFO0xgVKRkhhYRghOqpo8FuS0mSQNGXyIHPwmNgO9L8lL
jEpwQSF268iDTowSfs2SFkhl4JU7EzbnZrBMGoRCXZPkNU5Ud466bZkyNDP3oPRZGB9BbYndjHnG
xVpmOy8Y6nXoyWDdBAbxjTiqt2YE3R1qU/rvxl+orO9OLJZLtBMc1NqSgoztvhvQJsLnnYrM2btG
LfaaYZ7cSbwPaysPHdy8Z8uqfkQEzu6cSbnHloxYz8xDwhi0+jhYSUr3CyJpnVwt1UmJUWqaNsiF
mDYK/eg4NWnz4DXanRXAzoztb2kTsLaJe2rZ3qBfiybadW2S3HTxhcKgeEr88UPb2/qlK26IOx91
tDUbvjCgC3H9HaLXHmwmzFPYAOHT0Bv2c9ZqD8RPddQZjH6by+3YR+PO5ZReAXrpLgSH7WQvBXPV
mNqCF+gbrjjxqYvjYDOmTw6I980UMksiBeZgz1Ukl452CdkK9o/K93pdkok1SkqlVL7P5M2O59+3
sGGPmXxw/BGbX+T7ZxGRV56MyaNFI5iEQsrtWu3snTSH8ErBldS0fFu6ozgEifHkTbBC1Nq0O+A4
A3arKv4E9qkmYA2Vcu0V2ykhP6CeFEdaOjX7MCcftnIiciFoBFSA6/dO3BBKZVEnCZqYbsfgsxjr
IAAlFlQwnQLMamTSe63Sz6oW4tjl7cwwpSthjxR/Kk2dvVJkW2gPjcd8oPaHERtXGWCQ6+KrchFz
jb5HHuSYfZ+6RJGOHPI5LQmCqztjV48e03XWBfWjGYUVtUgCy3pzMPEY2sRw6W2xHYW7zqz+J7lx
9DiG5pr1qb63XX/c1B30QnSYdzlw9PDzplANnB8i1vx9HSrtMkEOt3y9vyJQN299G5OjMb3mbh7u
4iS17yoHVs1a6di79k3W/uc6DqdbVAw7WWTRpoa/v40l7aCyKQ6ga9KdVTQ/ZGoYAI1QX9U9VBVU
l8eiISiIny1aaxBMmRiLg2kB7Eqb5ArpftrGJSalJacrVfat5FQ5jKXXXsoN6x+6vXl4dovupysQ
o3tYZi4IHjEm22ZDcGrTXH0149hrbzNlXX10hUu2oAcrUaf7kPpcb73KU6upGbKLT4hQF6HU16U7
3ulPkAloIHPI+VikJ6pHN4UgQ9YfHMIIMkwByw4OQ0Zcy4yO6X1WYWTUObpIrkP6q0g5wcbU8Q5C
r66EPVx8plxF0IwXBcti01lzIdGgqbiqmIEzIM+2T9M+tXbf7VGNkJqY1PVjOAXNo0yJLZpMg68V
/+apRpqwLSzysUIKkaOrjx8l7zprOtXzctLcT6PG5++nQ0li0iqZpH5L8dfe1KSGW3y0cij2UcuX
hFE+X3Wge/AnlPnsAw6uZe8D2ZfWOQvt184Htgse+RC1o/0o0r7aY1vMV76lgRFwp1k6apZbo/a+
qxBEUm9+JR9bg4vW+FDdMDNiX2sIXSX64MGcAsbasP3ptPF49eaNUxL/UEGQ3LG2c04+KrV9P6Y/
8LeCxW+H9kgg3a3AVEuTRL4UeXOpaz+4RECiVxBF+oMI649ZlRjPNmbCUFPTNdL3DrWHFfbMZKVx
2IJim34ocL37YspmuKnXnyccpkzG6Jugsj6V1oewZC2UTCFuYilol07ObZnLBHH02AD9vBIvfg1C
PyQPNIM1kjgzz81kftdXcs1AgBa46eGG0OWrbN+5dcX4tULusrDgZSIRbBHj0JvTZytUwNIqB39n
R/p41TvFy0DWQuysGL7EI+NUuOlgDzdU1amJNP7OSXq0t1lGegXcZtGP9SHstZ9hK8wjzvabiYRr
1Xid/CCE8UEjx46cW8yTONDQQS72xD/dZPVeP6j9OIt93oQcLItQR8/KDSSXCHyXmwRMPjIq0+GY
G8hW7k76dlEf/b6vhzb22obG61/lZ+GoXSjWO7txllJ3FV6Vtw2SKD0qraOzKKBHRlm6asaPxZon
TeZFtuO3m8RySBKaN04wqQcf06ZmY0itRLSuZnVsSBr83jCyYxxoapup/vX3w2F0Dm0j2QPm7R7q
eZPNycpdlAGEkPD/6Q40D5n0N5iqcUmMc1y4mvkfyyacJeyazgY+2Xeb4I4ddLR05XuN2hqFrnZD
nn4IZPChtkGSuCSPrLw8S7fx7JxIVcoFKAyRSs+2QQf4BUurXofxqZ6NkIE6MyDmasND3qFrXWRf
iyt02by7CxoL5pVWEd/jNfF2kMhYwCh8NLQBNNWsYF82ixru7W5NQs6hb+I1ftmKZSQbrsXlbJ/9
41YwzFL55X5Mv6ym/bs2nfyxHsVznMrgqLVckp3U0fYDgz2wSQyJoeFtOjuZ9oVdvAhJHbQPaEET
dXXTo7gGZdye6qrQto74qZf2BXpZTGaUBdXb6en5uPawIkKTRjjQ0s0IrmTbVoM+2x3X7hAX19R7
aXHk7QKHniwO+NfBa/bTENEWljjFux6dgD+UO2BtSOxKAkRDC9oQjM9Vk0Y5fbeML4p6xcNQ6780
TyPmCFmj5nB6hqxwkzY91vGwrdvgMBIkvAmIVnaY4pyJd8+PVhEe3YprfypFdYjy11yLdoObd5t2
ouvU4IBbw5E5E/27rNVpXKXas21FCQ2zlnJmAA8iQxm0pvd5ojR0+G1WWkS4i/MrmTW8XL6OXlA3
++WheFZALa9bbi2Pvb02Xd77Pz799heskOIgMUHhb2/c7/ctT2eLUO3tvykr2H+eGoGhzjLi5W//
ts4ZVQ8rNqeF9Vt/PO/s8j56zYgLw+pnDTBiQqDBEwXD05wq0/KLTKz1fkuF52fedmr528vdJCgN
5vzQRwMySK06phGZj7s45gwpXFC6SmOB5Bbtjzj299oIEZp5GrR0D9zfyvYjcl7mzWQgVexi3UQe
0DLgK7EzSCxZ58IFEIdNEgQSaYkke8DWsRN3k3g9Kw6JkWtdGt/DmF5bRBb0Q95XFkwtCyRYjoR8
p7Xh84CPnqyy+ellAxXEQkRGUrdRlXLt5SZpjcszXAUtzC/xqY7jab+8bnlo2Sx3MwtTk2ZZm2b+
I8vjZB/8catMdaoGeuxt3t7ATD7lSkznISsV2Rxws6Bgt8eMxHWiaLh4YpBpCDqdyDbOJusQfw4G
/5lobXDgs3TUh8E9AzK4mWdagxR6gfIsDyybAY+evl08HkXJJKyrMEkscKRl480S/be7i5vKwSCa
rN4eXHxVb3ff3re8+u3ucmsMmhSjhsuYM+iT3HQOxLf1ws5JMMgS1JaML2Q1kxlOD4AJUDZmD28b
sPwwQt7uq1kl+D/eXZ5oZ53g20voKrtq/Xb/3V9YnmA60K8gwFebsKPW8fvVZLB5f9yczJG9eHtn
M7OlLC45FghaMwQF4bvRP3f+7WVv/6k2eyXe7i633r1u6Ya9PfanD7488+4tg1dp28m8QGm+1ZRP
W5KG5m9u7BxTlOvl79CDbtrnxT7nZwmRCss3g2Yrzw6TTmZB5lgwqdizt190uQtChAXYbxPd79vL
w28vXW4tP29U9MFEkWV+Q98LTa1zB9GWGUeHXjeY94M1K7cNSrKKhfji0qnVYE3b3/SkyYibz+M8
Xvz28tg1qyNRAY4l0Rs+QZ4d3xyOi82RxFq8j8vNZeNbgbbWGlAlpbDLrTNZrDCQ0S5/dIFmWYYI
qEv44MayaGVpEGR1F7Pf3H1cfpeaie/OqIqXklXdcfE2GvMPPLUfUgSlyxf47utfHvvTT1Quh+nv
b/3tpp8Q38XKqvvqdsF3R4voYlmkdasCJv/UuSVKcye/d7D1Sf0bNulE9nCRQPdclay4dHIrtMbd
kZLm7G3f74Bf0sMkaCjZOk4Xbsu2bfa91+XrgqnkKjam+kIL4gIfqfpk3TTbN89ufvcFogzYTcdA
DxwUTQHOrlB8m0Qjr1Whv1gD0hqjvSL8r8G0y3vl1saBQss3gAONpa7SSdKtZAjmmkeXqKnqbWFU
9iXq4ETWMMudVL7EQxXvoVh+KxisVl0azyDZPiQxlWv9GHlfkSOJa9ENqN+k6R91hbmcQMxTY+tf
vdC1dz1YuUPrii9WEkxbBVG0MzKNQIG2fEymald3+bD2dX/c5QMLelLaX4lA/pprPezB2YOo6yye
6DAZzA2IdaibhBV+4hir0SzGoyfG7xMNYFBCmrf3gya46c02hBCVy/pOcuVHyy6co8qdH2jc1E5v
wJb7gEfxcXlPVR5ET04D65RU5Q89zs0tzeF0I1QZwHMs3G2cDdar0VMwwzgRIPKIjgMnw2NQUK2K
YGbtqqi4eLH+yYJlwyXWh4qcjcGGr/1KlGi3jur8O0ld+aUvR4RreXygDnpjQKpOcoLal0bpFU9q
f0xJhUMWmr10Pbk1lpTfRkPpH+v0oJsW2FcSSXZwLYqNa6g9JDuXuUsfH5HpbIEfcSmMSVFuTGoG
/B7fJ8e89l5pnSKf66BP/hfdoV/EZdNl1sEe600u1khK0tVMTQrPWefmH100XJr5Mja1+4ppALGS
0RkHUQTp3qnWZTt258RmULBEU92MRnUrqyHasBHeuSoQibWQe5Tm430o+sdeAW+Bpa6eIvzKJFUg
mrS6u9GOlFBMRY8SruYpaKOGQy1moceFToP+O0m8pnlMEzPOA4HeZ9+197aLk03XS/ec9uXHoHfE
URbRsepRr3WKGqJule6m9oF5u72yTuOgfe0OaSLvRJ95pGlneKEzsogj8U3TcHDglLS4uoK0lFML
2tyurKNpW3vv1nurCTbkgxGVV48i9nZJn8y8ILrGnvhI/4YZLCv0nRDDlrO7IDuBA0sNGfFHdQ7z
z3kOSzCV2etEy/kjCclGqZ5UlPt3EcmvZiXHWzD61mwGu9DCy66WEzOIzdEadYHVQhXNx3qsrWfI
85fUqONzo4/f85oaVdCFaPm0bNh0BGzgQ2zneLruhQy27aATHItfribvu/gIObQ8sj6F5Kjp5MyO
514q+hdRfyzpm9hor05Es3pbw4jZO77gVY1k8JCq6UNcpvVLMpLMYIy3xNwFRGfc3Sxa14XN8Gql
lIrpioqUALcuNdZ4I8Y9uFJ9T9OGXJo+xfOoBfrZDe1iX6T0D6pcBScvsskaNLHCcl2tk9YCLSnk
qZ28T2NvpGfZYHrpjQ6i4kSNUOkTme++NE9MvMZ1DoPoICqCYcBX+SLv1pCVP6uBPWe1D8+ubj9r
xeCswMX5F6j8P1Wbfw5LZ8dL8p1p+BzdiP1P1dh1T0gPng20wxzZY7fB2WDSbdFaevHfPDiM17x0
r12YNEflaF9mZ/e1LcF/q9BAFkqGRJJO2Zm2KyzX4sUbm5c2UGRHlM6hsCby98rPhUZ4q1WPex3h
IO6NL3qbiE2BlGYL6tAnoIOUK/OnDggfW8Kr+Gz4+QQbXNuS31I6nXiJ1NcIiO+x6OXXwejsQxf3
T60V/7KSuD6MKX0TIDRlmoWbJYSyoUO9otNQHzP15EYkbGFjtsG3Elk59FQYzZwfAEbl3mHVmtqx
9kEY+sFxzkYaGy+h6YKKBiRuVQaIMRc7eabNily3108q0I9FWO96C5c/yenbMmjaq9Xn8Za8Lm/r
Oc86aINzkLcU+sNxM8aAxDSfFaDCeL+PqUdh1w1WeTSccz3VLla3kfgOn43GpaRllo+wOLONGwGa
zqZvxaDqu0u5rjOGZ6ZyqNvpHozpoD4DAr6YZnpuzDh89gKbcN8wrh6wlpcNGLDwg2b6/d3RKYRN
HvKfye7uvfoeGbKGzG2DCqwmMosSDlqqkTnL6AHGmjOqGR46UANKyrtquaa5KQzrbm70cULUh266
963sHpZHfDMgG3zMfyaxlx5sUknJQrH3+pifXUk4MxGaTImnKNw0PidMWRD2XPL/yLgvL0E8drvB
GjgvupmUFxNRqbAz1wFqX+Vm8WMLP47DOqPj4dVsxvxxzKz0Ab5STZ6AiQQfgGrDhcGZVfllq36g
Pr6qgvD2QEWvmO+dY5DPw3ZGLVrlxBzVTCqZetXQlduR0r1C9NAh3WQOdXPsdv9g6oUFzoyIFr0n
yErXpfackgdAvMqvHJD2x9KKHxLdhs/op9FTkyJgbqKAJMF4ugFGfjVDVVyaPtdXDX3qh/ZOLKY6
2ZXcxQz0e9ouLOWls69UHlDvzriGURU17GNPMtMHSiscvjj/VrUF+tQM5INr2/NcaXilOK/vkdjK
FY5y74L7CvHQZKy8MSE8dLgH5Rf+y+k48C3slJg+EyYrCZfAFkAaDxBfZRKbAkMWj1ENRiF3PrRF
wvRCs1B3E1O6EknyKUghXro2cOVwMJpdjWV5Y4LX3JVwrQkWmB2lRvpZyvRDP0hkmpRYPX82KERA
B6OQhAUrNxCXSeCGQ/A41lQ/YfOWODBMgCduehhM5e4pC1Ncwbqo268078RVdzqYv3sTYsUXM2/E
1raCn0FNZ66gz3QfR41pZRueHe82Br0NYzN9hilebfqIoNFGMPwzheGoUNOjmMz4wWOtPLRO8zgJ
jCJ2MH6MWDVTQZ6iF9/uLkHgW+vKUtN+wnDg+uSWxh4xp2O613tO1xYB0TZ2mquWtPVmVOY2bqTz
SZe/mNWlB88gTiOHNUZUUPmTZs6T1Rn6D1OLKCR79ieuXuWWuPeNINfwXqbOh3DKptcwsP1VB/KC
4wOYxdgn7kkmNik5BjBTIJOkzluDd4QByyVU/6hX+TenLLde1AwPfiTAbslJo8zmd+cpCL1zaWeP
wiYRYUI9so1SQCdNwkqjZi59ZineeYlz15p55uWnh47cq30i3PtU5XBi53KJPkV02SB779KUzJhh
tDdhIDvKwqSRhdmAACImYMpPYiDZQfrVnSHrVmqDcSfjfRjG4KSTc7BKkkE/tAlRGkNg3tw8c284
v/e+QwUjHaITLcEDpWzqKnL6UnlZcaoYDBraMSQLUYYrTEFhJGj9h6ozn2I0M+vUslsQ7PgxCztJ
jzSrePdIwy5lsh+mgN11zzgjSqBeLEcE9h9Khwi4Vm/TbUsUzWby3Fs5egpsvv5lzMh1SwUXFIem
aj72Z6YKLXtQmofSGX9Ulngc1a4cbMZqYLOnKvFuqEBJxqbYIqr8mEwkYbVZs8F75NyquPhSiuQU
daW214XR4NZ0/FVM923fwJpbMa2K0US0/TEU2VOstP4Iyo8wAs39xYQHlGHdYB314IiMYjjaXNse
Dds71tXArKJ3c0q446vd0ICRWhd9sPTkMZOAA0afaZPdTLuorpJtQoqGW5gWJ71s121qX/PQhFOc
fLVK5fzMG/9VFl8iUx+f7Fh/TDvzC+6IOXyw/ATxQDy0hsy2Rtko5puDTxfQsg6a6E4o1sttGCH1
C3OREc3ECpgLC3LLPruixXoI57+ZWW26NtZ25YmXnmAaU/MzOm0T6ZMhHE5Xd58Sxt9UddYpLdp6
HSu0c4gLwdKVvbEXhLlsUdv+ojb+FIY5X1bh8PPBsbVLWx2mQHwpBv/C9Aifq2nvMRhPVz1CbVCP
tx5Ze5B9IbJV3PDqlitRVeXGKorpcfx/jJ3pcuNKtp1fxS8AG0jMjhv+QRCcKWquUv1BVJVUQGIG
EvPT+wNP3z7uDttxIzoYolqlQ4pA5s691/oWn8SmNtso9DT6+GaP96sz99HcPc6d1x8zOzpV1ovT
EI4LT9kOptioriIZnvLV0lI58upH+RzUqKZ2uQFH2TeAGXpesr/LM2OZEx+uJfmO9TWgX6IYctjk
Nk12Dax+AHWyFuOZNj38GlYYZA/X/S4vWdGVHqy0h3FWv4mNCCwG1JfBGw+6p5Zj7+Bh4q8wMwJe
Sn6z3N6vcWSy2ywuME7J8Q8yxH1iNPzbDNfpwLBmMwnG1RKPLAKpc9PnX00MnwwZjk5xVGUnB/Wo
ExXGc7KJ33FxX5jSVA/x9EOrEWp6NCEfEUSn27hhv78/ZIhdr00xQ351+wOVX3FZCpv8ItxKzPML
bF8okXLoTAnQ1gPHm1cFjbjLvqvWQirpE7oVOXW0s9CNhOPIGeQ+dqrEcPorDC9q3v/RGsg18xhn
2rm6phzWyOtmyj4jN13s2r+UnEegbItiS05fd8h875OJ/4HFAOa6yp6aLDPOcepYuyidzxio+MB1
W7ta/kjUQiOcrTFpz9Y4f3G+Vgdttn+JCd5nqpXJYUwI3ONMdM5t+zsDPu/oZWSvSE//rJYa++xS
ajvdstW578F5ct8c6qHKmIitpkKtj7aYy1DpEthjlhZ9oYoevNXmfmCNBA3lftEcaQGLY4MphN7+
ZKEjmPWT5vrwXGGGh4pAlyBl8LHnRExoDjdXQNsmP5eVnoZzsTw6eaFtV6FN3zK7KWUDYRZ3c4g+
AfVVqIb+wCDC/GZXn/pCfTRX46XjNHakDv/GNaPOynzu6Go8ZZn/oNV0aTpdL3Z9ok+Ps8DK12G+
4TKVG2LtrCfb1870FzbKSkvMFOaujAvz4OgRJJbYS4An+ZQIUV8EJDnoJ5FqfTDkinoeWdcuLotu
qyz5DaNzdrXbMgpsDDZrg0viGXL9fTLr4Cc9a9xrLnVmjer3zC+brYhbbG7mg6Mc1G6tAJy5Nkhy
MuUJtImuUx1jTxxuiYz896kzkCiXukFotOw2aU0EhOS0CIYQiqVlUJLmVnEgCdgMTTdHJ2eDlo2y
5qHIq2bfZWYKS7YuQs1MJ6DQG0frxLM1p1/VyIw1VuW0zyKb3BdQomQ44OcpO+OPpnTzilknXPq2
uY3jqLaOlKeFqzSYiFA9lDiwmEwz3E5wUT5o5L6qKrnUjLwQQupA/h19OlWuPz4mS4rt5QiUabyN
ynmra+3qmLPcWa7RbXtilhB3EHmS+hYZcXF/deP8pjUAqDFz6se4sdMHIni+LX2yc4dMfI6DSygP
zGS8o+JtZEkkvkq+wpRm8Du4D40SzQ+/GHatlf8Wwo85j4uXxtbkIYtQUQjfJJ7V7Iun3qEigQK2
i7Q6wlFHCAO0HoLk8vIR+aV5jFruhrxOQooxAuI6Jw1deg8Bap10i5ZyPTKMvWwZeSqBgM4drmJq
EEVVInSJkDm0NZBrkzUNxTd4iY5M4+O9KEkNI13h9P2O8SWT9ro9NAniy0UidqzN8dUEHc5sFriq
V0QinFK8GF12iqZE7UTkgfjto33ak9rRk0AVKNDJzO/0nz4VlN20/I2z+vuQZdqpt0X6jNnIQ0Pn
We1MthyWBM/j8ALn2eF+jcvtEMe/LBJ7GDM+xywXD4lW/ilmEdgmR3Ivw9GoEp9kgQHBpSLzlpgN
ECwtR72AOYq2G3J5ilOVBS75YRdvvmlzUnJunMlOTAySSdSblpY+gDqpHRnBm6uLyQWVLLqTVzGz
Jz/Ghe5F2mSe9WIHDclg4GTtuKOJI265UVtmeZF2E+XE6Kq1wjjVMall3sZOUDflj3E3Jcd6XWaB
zltB5yY1gX7NS5aTgDm4V5MR/gGdd8HA19r91V/T1XPqU1G3ZDzf5oXjQqvl6W4hF2+uW6Ke1vAj
K6/VzRwf2Y3kRVPu93sLJnfJobUTQcj7h1nlAJkgX/pV0HG7LRZMf3Mg6znO+r3WfsnWzmmnQhQs
h+HTLpyzn0djqFIdpT4ezMCd7Bdb4X5rKhvZRDNTHVT+0+Ab8zGrW86s5hTRJa3/8LafTOKDizIW
W+zYfmDaLSfJGhN0N9BFGVcJRxLpPzojTYlqyXRkt12xLcyJaycpnZvodSZ9hGGQULuvEXGTyl0u
Oy2JmoNwAdEygmMOjlf0WRj5mzfIZ3+KrWMcE8hkDRQgjj4UO92vrF1V2A+TcvElMkTQH4gxnE92
bX71SCxIM7AJ3iRkz/dRT0i95XLzHbzQhTYRMMcOJ6lUtot0J87JsODx6lBgDGgcVW1fk2woyFSL
biMpqJ5b2T/H+iqWxLuYBX2kIsV9YqfLZ6aRrVHoPdcTsVZHiDoRNXf1dRfDR5P3q6zhv2/oVRG4
Z3vRXudNErGzqJszzltbvNnTNP5ZADDi7aOaNq3hMBi/KLjkrVsEfb92wtTtVY+DI2k2Vrm5Syvk
qRl3M1FXIxD7vr1WI5nBsVE+07cVgSEdd0s19daljdwzbkY9IG3vguDow6rr9tzEeCR615JhS0oE
GYd5F0KOQfHgTYw+WgdvrRPMeoEmKa3OGJB1Jts+s30/Tl5nRhJIddGHlJURpI1j4xc0+4PSjQsB
itY1QhZNnsdoYejNk/poJ228o61k49Cg9ZjGzbLRukeRTXTptTlDAJp+bzgMX1JHex8i5i8ems9z
nNU3JVfxoo8p12R6Wo5GfBr95xrP5Pn+kGsW15wqnnMiU1FuWl8JZ1SEw6jnNqNW/pzTB6rk6lJm
zvQtky660yQsjQR7Q5n5r7Xlv+TcCOdY+aGj/PWuzmjGTcRBQgPobijh1E3U3t4HscEaD8mAtquG
ycb18z+NPxDHXi9sZKq+mlmhnxmydMd5wVCfVLiObTT/RqZdGtiHb3JKs6f2l1DNvpRV9sbubFzK
OSFfstlbmkhfdJT1IfEOjGwMa776Bkz2JVP7SeUeIo522d97C0b7zBFFO+hjLQlxQmGYMP/QvVYe
9M8p0ZJzM3AEzUztpex4Jnp7O3eGf52L7KhV0kVy3zYnDHA/ZAPR3yha7igPqMPo0eWVk4CPZiCL
KKcDHgd6WIkwg0w0AQ0beZjTomIJMiJgQ2RvznNBb6nwvGBwSkjUVedstah50ZWJO9RIdl1ius8l
jHKzQ6tXecZDQZgbecgoaIZaPZeZS3eNVO6Us9q5rmyP/GQahYasunOjJftqEvotKat3/gQrT5ES
fDaNRzPh7ZdMKAPE7cWu8VIn6EtYbyYV8R6Nbnvy6LAkU4VkzyHeKdd+aSMZ3SXBHDu3astdLd+7
uJgOSQQ+uyudgcaqvEZllsD5GrpL7sX1Jpr6AkbBL2zFW+mJ4mfKaroxka/g+ImvddaNYYndemcb
KauRI8nimDBxaKNhfrdx/dPq+AZwNDrlSns1665+UDHrlmsZ0b5pjS20/uWpnYbyMZr+lAzlwyHh
dEHLZ350wL3dpgz8nFt+b/VanSrSXpHm6cho5DKgkS27a1/WIhxszg941o1xsK+Yjuyr42e/i7jJ
j5U3azeG/S9+zuiDdl37ABHc0yO4Em37wp7jk4VWuGclQjBFK0+z1w6D/0zfO3vRtD/53FV7ZoZD
YK1HnbHOLhOdkWu+Bqt7seRqSyWpLJl5S6GS33zDLR5y9fbXEzFwXSDJDjSJYO/uMwc7S+hLORIG
bln8kTmcvUoxcpEY8XAxoYFshn6uN2O7QHVdDRdipIISihMlo6Jq7+nIG1PHuzQDIysRa9VlnNNv
MPp5X4b+iJGe4qF3IAo0WuDWRksnShzuJ0XeAqpfArtd1fH5pqz3gAgQ2DruXkjA+K4+R5zRad5N
6fRox5w44+ipTYzpxiugQvfmXT6KPMyiagrR/O4rPqyAmsbYog4lEnppfi5FClNzBVo1seGQfZh9
xOt64rrwoZpOe4oJi0GfPk8HdIzaljLSxdHfhByqn/LSHK/MDbR9M+I0b9axY02gzWH00exZNdby
tWItKYuRxKSbumdzoNnlbTT8F9AbMspSVZ0JXaH5xD7cGKA/ErcM00idG5uIHlUjmxsG/Ga8JzSJ
3bD3ehpy8WS8DxXHsmb8TQMzI59lTnbRWHiBUbfuxpLI+U3RmZd6NM61vqQ3zsk1RwFpk5VlM4so
iRAti5iGa2cbrzT0Bzrd9FgPtjvOr1ZqpU8xS1Y8z4ha3PllVDY/oUsPXZkRDPVankkjjBZxobmA
0SjVGJFUM+iWlhTDGgvNDFbk1TV5p0h4C0tgrzFp845e/eWYmXXUqIsfyhF6i7S2BAc7P0w8iq4z
BS6eEham3jvDrPMJQNL7A/DORgPk1tazQ/FnZFvCuduDqFz6d8V5QM2HizYhVhJj0AYFtX9hiHUC
kpw+DvQzAuCgiCS6tDvVyC2YaUIE8Tq5XThwXVpHfIucH1NMdiMf1pscPRIYJRAZIstQFzgT5049
sXaJJd4Gs/pliWZ8iLy9KHwiqAEDwQbxqT+c4nlJMCRP7b60+/pDuFo4FvKlEGMZar3TPS5VcbSa
FMplkhOmw2QuW+H/tTF6h86Y+fSEjNlwhPEgrPTszq+9hQB9rnKfBTKfb1VCrHrkjB+2Z/ImiRsX
lXnQOCldcusXKYbFPobZwFCiYdskV4kJZgyExEnOMFBZOYwsei+g/3gJ7pHS6BgTr1lJJDjQDYlR
MOeLFW/JI633JSmwUOXO/TyMj68xYqWzbZHXkb5TOjVbxMxwhrJWD3tnIebCZFSiOeYRzucbUunp
7FvTeJ6ZFE3KNk/9mDXXFsHK3veWX64Zl3+lKt2/quy6PI+Z8R43bU12zUpOsHi4fzUtxEhN2kwv
KVdXF4qw42C07eyVVWxEcyAEsjGCk1BO99XziH2ISTIfczkkyBJTgKKVW+JXyBbjdW7jNmhcbOzk
elobMjema8v4/m4vKxmvvizpb4RYt8aKnA8CQykJjY96cvtnM5f12R0bzO8jKYeO5p7NbDUVECIU
qGq5iqEbn8z0B7JE+6Wzsj3AadgxOtSK4lzVqt8alSCbqftTyeJ7QuW/Z/xAVxf1Opvy4u6obSHq
pdRfhTzJePpu6QXLXELWjO+t+RQFecyrPmKKZ9rTkJ+uizXGG5TSqMvHkkam59V7LxleEz8VFy1h
paQN9ZP0a+jTzL1RU/wxOps8QpvbuNWdVa/SnQfLeocx9Iw8z9/GafU7lUuxNyJtOwvbONmLfbUi
j+iLDveub/XbVEKj873h3DIuOvtRcYEVkm3HGhuvVVF1m12PXcMHyWybbzG+9xNlkrPtmHLTPWV3
6Nxl85dEthUPsp7NnVyVyqXmEdEr8y7IobUFNT66EH03aPqC7okcTS0gyo5Zcv3a50BviA9gQdUj
jOdMpwKYHl2Q9UW8URMN8xaqCVMdkLxDm6WhIjWT0V5lP0np5OhT7WN6RQMZvZmqYRjPah/4DooU
6eb0Rsv5J9LwBm75idwOhwxWthpTaKEEj/3m5e4XITmHkX1zXzB5KXrVoHr3JK5LerqLfUeMVAeE
VeNhRIJQJjSem+Fgjrp+0IpfGF2q/VDJW0JDdoOzhMg25YTKGfdZn7q/x4Oq2pD03P65Eu3NS8C6
t7aWg2ii/wlYwtnIbDC3SeYbVNrCuDVDd00tbMtF9b2gpbbBTuSyvpAKLWrSF8aIU56LaGL2yyY8
+HmH78Vxp90U+xOKviK/TmX/e0oN+pJRdjRn960xGJE0bqZtJotQUasrxrCroRkyt8AiWBGn7vnG
lQPKUxsZ7am224/Y1B9EpYrHzhY7U47xVXnG49wnRPHoebRlIZxPSYyhfuVE6hhWdM5/q+ZxfNAs
EmXbRT3f/QSdZbyi4KyOXUddZFnpS9pWw2EpnffOcnOO1u6MS0X7tEd2ioL4uFCbfR+7zYhNj6lT
4OSGeQGY9DNum+4sh3kVkNp/GZ//x+/pf8Zf1eNfLsq/YG6/q5rgtzjp/u3p/3qtCv73H+u/+efP
3Gkcfz+7yt9tpao/3f/3p/Zf1cPP4kv9+w/9y2/mv/6PV7f92f38lyfhnWXy1H+18/OX6vPuP5kg
60/+V//P//b1XyGiCMNePeD/7wCVq1SwSlr5f/JQ/vGP/sFD8cCbYHC3XOGs3vx/wlB8iHyuL0CS
uH/D+Cz9vzuGYTg6mEdT/CuMzwGTYgl9ZXrobH+48P7zff/L5/f35/kvtBHxb75qW8cDihAFASAM
QXYE/d8s5K3hpE3fxMlJdDjXrfipXoOPszUVM19zOOcst/c2jMr7s/sDfa2w1fX0oM9ZfRyMzztg
9v6AMRYR7/1LxG11oHfLQyYLcHfULGwhziHFwtzpNIP9uGxxx9tbZlpfjqqCWJbtVW9o9A7+uAMn
PAWtTj6dhLUVoTuLJ7EdnB78V9FItIVxc9FZJMuWCqv0e9rpBrBor19euPrxUSwLbX1ImE7G6A0d
ss2+gbrIQNupAFuRbWRvWz8vNq3AhpdloTO6p6b1l2+0cLG3jzgA80uF+TYqo1+qdshar6ILHk9l
yp6U9czfUGSTOUhQbiDw/20h3hCc2IPPJANsTYmrByJazZQMZt88JMeBrRzBP1qhFR4vNFZ12g4B
YWXdLvezGm/CtDdEdJvi5KchszX/MS2Dqda/TPHqK2PepTNTeEXXghWU7qCwsX4va+x2tU5i8hSt
bD281SjCgo4AtBBJHVl/59qss30ap3+c1H3OGjxtXUYW3wBVqTPdxzyJHz1yCOmcTVvdYSSWrROo
RoHW7SnK6fB5S3KLc2LYQ5pIYq2+zg2+760zM8MbI4dhooijMG3cR3IFsCl1JNf5mbq1moOfAT/8
Zsh4xS79Ebhy2etSIqiXHBUpAtJTUT2nRr/8VALr8/g1+TI6kjJNVeqsUedtvlW5bod0oF4Yo5ON
Tf8JX5W1bTDtMrpI9E3mcxJiUgvdo02jXdG1IP5W2lyiEUE2Pc1YAQ85DtFN5lqvftGS39BpR2vw
rkVba8Shu2e3qWj82ObXsHA06aMOpD7c9kCztUdyk0+Fvca9GftJ5921eT4c3FY5O793h7Wvlx4i
yy23ca1jnYzL+ThWM0SelWyxGLhkU5EgaHPDci5VIBr0Yk3OKbLoOu2mC/6YlEpHWx8+pt6e2UVg
Q+YrCc9wSqSQW85uwxbGBQRALWdXbabkhFXnU+ZPpIKiocv0+baMKHYSzX4bmAZvR2Gf9BQFXwVf
cjtMqzXNCDrTbJ+dGFlFQk8l6bjPvHbkL27b83PtEPLtWZ85kukfiTqqxj73FumEiD4xcWUXkjno
yHiv8VJ+IFYztpGUxAfLaNmp6pnGgtxVlmI6g1qm0fr5KByUCOa8TxNZ7GwwYHty0nyPzQu2/cR4
YEi2flIxEprFzkj68yCjeSPz+qHC89c1LWOsWWHrqShx9v0SP6Jw3wnb2aFOoh86ULJ3JRDQRpB5
2RUoUV2BWq+ad0mtN2HpZGUw0gVEUBYMvYV8yfSPdp5kV2HIm5jqKsQlIc3xoZjfOqUte7tuC4bc
ByS98YvJj19TL32Ae/ThDt5RjT3qBs29VIX1OBVcyExmBhB19i+dZqFcwKg4is/4IhGvBJKv8SHr
/jGWHL1IueyzNtnFhULtTHef4B+Sp8fQJO4x0Ev6SXmv5dA+kTEU9uM8LMttUOq7NiTfUiuLGAow
RF5UUx3byNtV/I7arn61jLcps/PdknuhwH4WQiHoEejpP2MDXChGfiCAKJzGOFRw/RD5nnq//oyy
OXoQxGpsUEALzjvUPS2m3KCel2QrdI700Ww5QUMs5waSw9CX+KEsYgS72gOk6o7XjimTvaTuzsrJ
SlzobsqIKYSDwiXr1S+r0ABo+f6XbCyCa9OWExTkCynqmzGbMkhoxW4TJo57cwSHRAW0LVnaEB85
xyTtNQbG80+aACZtlOUQDa466EU1hLpMrmZsnschNtmJJsAnvQiacux2XlacBE5LTFbisRVha0aH
FMgGBjuaPWqOd6KO54eVcLi8uxMKi4gOcggS8nOEholifKOIF7okY/PYuDGxi1X+2QzyN2SXlJ40
Vv5KQ0CQzN/cLvPCdvZSAB0TX8ANt+zlZythNhgtqmJlOP6+1lDc1CKzNyjdxkOmj3/mqapCI7Ou
o/LnnYQ3m6dTg3uXRHmiPZsjW8uTbr00VWV/uuO7I/PvnQtwdZS+vfGhajCJ5uyb6+NXx+jvqURF
ybTH23o+Aaal6Z/Vgh3YMvQfsr3QW72mZXTSKzSMxMe0U7Fs+8g4GU5MjZnXSIlif+saq5MJxOqm
G4bfhc2YOY5f9KQ8VEqxqhQPsy9M9EXQDidffzfVU2+2eejgGtlIvwcKG+Nn9n8Z1OgGvagg9sZh
P0vzRUdt/wABnoW5yQ4dR86da8BLwHbD7desDPXmhzbPgAxy4YBqHaMd+IQM23NlkmQ8vTnJ8l0y
RSAjSG6N0QZzlvY/KmhSxIR0H51DF3hxOCZ3BuzZjpmWMqqdi5yRm9/BpIHYPTDo2GMypY/mG/K7
6Yr0bDtU1x6kp8xGZt+mJnACD1ecDV3/Qc4anek4ktfRz0N7HI5e0ZmPFRB/lIh8rC6Nm7501HZO
3YxAFBE6mRpOtrWsk1P8Wlltr/Km1ZSPdydeRR7stZj/iRevmbYC3UhOusiPWm/iQI79+lK7MHil
rQ5NG2Ny7nOHjrH+3uvDd1PqbCGqDHWylzZThp21yszfCZo+p7UfNFXTgsRLWtYGEh6H9RxV4NHt
tWfHGx5HLiPwFGedxJLAkkr77aeBaY3aq6+nt9gc4itOnAcE2Hm3dCdfyplOpMeqMy/fs5qb1xKD
f4jjdN6QXvCdXcfelTO6X0zdDI5tWqWtDt60W8Cgm0zyWTbjW4UEQdX9JnIVwtR2sjc6B+ayy8ed
rpVqN0AObif1IwK4GbSzK0+tbXzJjjojWspDCthnbzP4alAVYhnz9KMdF0toF8DwGqDEazfbeDRQ
VqO0y98mo6h36LqMwBV6hJCyXEKO2AyR3CW7ZMTgbdGC0Un9rtEk51XOgfKBkElDi9+V3c4MWPZE
dZgotigi2wqTuqsnYVagFOX2Il9AHxHMVctRz1cdBLv1VhUFK5hnXqwiAqeSSXbBGsdPLzMq0lFk
TxUgTXv13urwYQB67Ar0fdShDkOBLuyhLh0UUbMHjiSI8qU461PEWdi2PhHJV6gnkMXbVCy9/cr1
KUJIa+lmduDpWhUGoYEWKSM548jmzZVhdttGgJUDUUTbtTmYg56cfRM8QdE3FDCa+CJHVjHxcX5Y
ndVspxbafJmNxyaetnE5cLpnjgbXrtqx5yRI3GhVmIRUh5K/J3J+XNrr0gkygFAopsW19WMSXCvS
as+LD5WvyOwfpbdO+Fw1vHZ6wlQWRvD+/rQZmPLgui/Y5HV2EN9/RAwkjliTjjRw8JOn2IXSvHrR
W6vcFa5cLqO+rt+5T0fSWrEWDjNQa6yeG3OFvWSotoaheS9i9HRObYc2YFyKY5We4Qxc046CHSAI
iodm2zRPwK3QDpZusrMzWnCSYwoy6vTslO6jwRkjiLRWhiYfeZGyche1jLgImQM1hXNdInljIPut
1izFJqxZZ2PcMpxuPJxk3ijw6Tp4ON00IyexpxquovSyiOzXlC7kbScgap0JYXjui7NldA4m3frm
JwMRYj5B2w5+PrPP6fr1zdWRYrmRMBRPThOSm7wnBZPzhzvsOHOob0uOEDQr8jP4WYoCvXqpVoiz
kZgdnbzy3IGMvIwZBnuVtXvL5ZfbGaMa8QwF6ENJ/0hn/mPGjw+XIzGDvsLfWgkIJyPL6GT4Qeyn
5m6ok+1C75lXem0ZDD7oBm/EWwpkQAuXmVLhEv8gbnjGwh6kEScYDg7fwe+ke4XpNRDdsGdp/E1c
vfWUG8W5LfxVzF4dzW4qaH6Xzsmy6wMqWeUihIuH3zbKvKvBxh5EJFumKIletHT4zH0aUZMtO7zS
z0Pcdu+JDf5PJp9Km/Rd37TTZVlSbHTiLOYTygRIJ/2HbxfDjaOMvvjy6pKhUA0afLPVS9RC+Aia
5fvAp8bcFjoXWeB/4pDEyyufOfgRHdmJ3yy3unO5pxMPYu0gxC6fFtrs/q7HNVO6EAJ0IqrzVsTH
1pHAnfo45AN3NnqMp8JByDpqgkQIh5WxGdRbXMNRtmvImNykSQn3QxCrHi/+s5vAe4kZPKSkdB0a
F26fZcx7y1PPkNoYKk6+9bNI7bBKIamjefsU6RokZnBr16SX23mJXgWlPV4clH9j9jDN0wU1w63t
BLHjjmSBtnn/taGR6T4NWPxFdERKYodtqVMr83cJBHf3dtFrSZa5Ue0zkD8w7261M770pB6ux32E
8vpwibLJPKiCbXWuuts0Lh8m1PJJX1mEFjY3KeiJFriF86pcCytVolsvuR2NhaAxcuTwgz8JkDAI
KvL3wmUm7HC4h6eDO86eu7B0h+M01M5OWva0pwE60iYX3zpTomqIxvGo5WLc+MZv5Xk59yno8KzZ
JQxSrsaABpfDNlUmTb4+Feo4RMMrMlnn3FrIKZOMPX6CJhdTF6BLXD3+RZMHphlRWlZMWWv1RUPc
CRmrh3buvsieP3ZqIlDPPANPT00HwC/r5tqkCTD39h1IqAx91oEd3AAyOfXBuHotEyldD4Zmlcyg
e4G2YoW+hf1QyW+t08pg0XA0aLp4STr8mGpwcZ6543ZxXWodjRKL8cAm5rXxsQ1fShpvtIGto4vD
oEWzHVmSYo4jjB7SINYS/NosJrXfQ6kWGSI46ywsUB6jROhGD6ILnAiZtzGVzOoyUjjnHpxMpnM4
r4yG0fHMztcBobDLN1HJL2QhDpOumeMxmuF8yn9R+f4EpZ3Scegu8ci1XVbcbXrho0xrawuzGb+e
+tuZ6eaWFG+N23M7uLyFMob3gb3/GxKVAUkWxf0MR79pb5r3KkesbGmE13A2+sfSEeLU6Jo4sU4B
prs/X/rKPN2/uj/UxSbqYWd4jgKjrz01bZVufY2e9P2hsRvjVK0P96cs3gQfwBrCgZWLU70+JPlo
sR21yYPjOOleWAnQ69x/BPceHe//NbW+hPsDU0DC8jCp/vNF6B3BsnYuVDituUDD+nD/6v/2VI0t
udyaOrrrC9QLWz8p92ell8bx/uT+7UlMU4ju60uHULSlBOHovcbg3V/x/StzAKxEmb/DmYs+/P49
bKzo02SM95I/GvJCZJPrV2ZaWoGB8D2w+tQ7OV0/UIuYbnrqk8eus+jPdAwyZw3wed+WYcPCc7pn
BN6/uqcD3r9q+ZjuP9FRAJCL2UZy64yW2FDNkt1tZN3JVKC2Br0aAYMPDP2XdOxP5vrvpgmG1Io4
sSJfP2BNYl7bDKcFruxfD1OXkTz09zcHdhSuEuzEnHUftTbDM6G7A2UkX/nrw9/fK6nWD5iC1oEo
AfBrjvn9IdeGdocM73Vy1nabazzHMPZOdP8q0OSjwQAbMr2YIHr9/XDPFb0HnDaMCbeeHqvNiIL8
aPgN+kstqw8z2/PpnizqUqNzQaOktFqNKU9RkmMEiuOvp1rGiNfvwZxba4cwXeOZMu7Eo+F89HE8
nnQjLvcNHBj0ueOJIex4un/fqxBS0gcdCAzwFjuoulX4NM+kBfkuR/gm93uu56wLs6X4MNLrPYc3
m+xcHeo1gFdzvTRAzQpeISbO6u+HXExk8jrztKum8un+ff77WGx8YIfLuKYKIUoGuqVOdakndPGg
dc2zUe/jCtijneH+qRPEuMrpTn8/3FN/ldVhwb5/89Fcf4OBav10D/dt1lfRzyg36P/xH2g14KNl
jnsjaqtXEqKpVS2/2GiET8cuy6TLpN7UOSaVJQnLXgz9JeneffIyAunDxUwM68dAmgqGlpG+yOL8
xl/qb9wUSWSmXaNBHb0W9IsWzTjZMwbCZIMswVg1KiAF7gOJ3VOctPtBH+xdD74SysS3uSjHENq0
JlMEQEzZmQZOHKWb7gqfm3Gn43ym2gsuIAJui8QPQKG/z3Z8MVML6y7V+sZPRn9XzOS2Yz7yuI/B
mfkY35nKaZaNc2yjH8ZyyLZILTyyeyGyOd5JEwXOQzN/j72pZBRFFzUvdl2P4U8V8cCSikOq9kwS
NLo/lHT9sbepSrXsXWbg3JyU9VLfD/lsby2YBIGztsuZDBBoGQ07YKX9La34tR74MrqUFbkCWhkU
zZjt0rZ0Nvk4bHQse1NvfnZEReQdsOUcJQ+vXPuwdK6LanZc7ip0TxHqzGFE9sPQ9aeWv6vCXWCl
OLi68v/N3pl0Oa1tW/q/vL5yqNp7S43XcSWHHY6KKICORkCA6rrWr89P4mYeiEPCeP1sXF/bcLCt
cq+15vwmBZeJHh38jgY9XV01bgybBLDoJiHJ8qLy+oo0oGc37y99XUwnnNYs5fllm7SpurumC7eN
Zj3hU8D4zWI5G7SXwsofta5AWNsuVWYOVVXzBUoTkOcC4e2n3s1anKKoJk5ZXr9g6e1O9O7pbWjm
lTKMTx1Yvo2SptoX+WheBcNzTFjvI52sjTQZSrqob9wU6nvlp/djIBbHPcoqxf0NK8y4V0b3sRdQ
P7uKBlQrXxnYpF8gmX3KFeYgQ4Vf2llFoJM0JE0DO0MLuhEtVv6FDf6CH3XPVPUAhAISm1UsSRBv
fdZ/YIC4gQ2ATN+/m32gmmNH39M1hNdCcyEWodmMcoy8Gi9SktkOV/COe3BcuHva77f5cPR1PF7I
vXTPKlRCdt4QowCoQy8dg29WIsXGYkHObGHprvVYxQDTGWayBYhPZaeXTOEXKKodVzurcZ+oEMbN
NFJiEk4jo+YzvYLPwxiDIBIo2gY6jIxCFvFqVNxNDNrocjT6ESzt1pzCp75Gt9cojH7orolMycNz
ZtzVD+Bw0NA7w4Ul+KfZctqDLBlXMrWmEYoidywGPLAMsoXZQ/K+cGpxdEERjCdsJoEQn+wsyo45
8+JMzizZxmfdyOxD0Leffa1Ld5rQU2p7DrMmDulcxCx8iHnCgvQpYMdQh4tdEaB1iVudtg0VY+PE
V3XOcDyfZgBJ1TKEyvzHeeKb+kB3Dwbh2htDhBdOrs0yykhVR0iMM6FwgYqMZbckxBfMuMq6+MG+
K7MIf7cKkECxuenFWCe9cl7x3OvXPswaynNxW5poF0XsM62n1TdJLThX8ecJrzbYMKxGpLfUQRQu
MAbj3vD1jzJOPtPYhmMXLCT28qp0jODMtXWfFy3+J35s3cq9NlLahbJE1gd5q+Pe64k2Qq9k1o8I
/SJKkzdN4//9kDjCfiTHEVHCDu+DPDip9lXY2bzBRv29HprtMKPFKqJhPkDSQvtgZ49yGEKmalhP
Rz/p9soGXpH5i7u/p/+MmZNrFr1kl0Y3GvisvMXimWLpL0P5NCSteacfmwozDUeeXwInKIomwMoq
XzH3P+VjuoOzCkitsrJD4FTHShAHmCei30VTjlOZC7uZYonMA2dvBdxOo4ErOHlOB6edrk1L3HDB
QlUcUdyYVsdn05qkuLwJ02cigxHv1dWzOcf+CTzzocKZSH82mp+HHu0Hunw6a7O4qk15U0wWLVrz
gNdsOqZGdG1H7nMCchZEvo3BDc8Q/ZDMm6bogufVoOjCAZKCdQmnLwE4I29xPG3SXj6y8HzRQ0uj
jTV6yuX+j+N837dtD4kfMGCEk053Xzp/iomYSQ3OmeE59Eu6yeqkDxbFSIn+QU3qw2Ab+3nSPdsk
eidmHkPBJ0pK5eK1SPsXZJNEloYEA6v+FbqlSV1rPDQjzlRQuJus8ust4UDDda93t02WfqMZaPdy
Gy5Ym96mL8bcEnBY4UdXa97u+gfrQ7Rgv9aM3jhIn+lrxgfIysNpfagwn7MAQsOdhbTFsEEfiUlb
nHBEJtUPWdYMXoAiqRogS9WdJ8Hwn9YHbMuQspaXk9/6Og65yD80vrErx70DH5bENUYrndYDHbbR
ZjOYcAzcdBHwnYieJGM6qHiMP6uNz8hvFVUpuxmPqZ9cspQbDyjo23DkNu7GhmNs84GI+hIcfqLr
Eyt8supHd0DTRuN2UQ/T83RUwwqFRaxUcGTiprha36/m1PRg61HUOwQwjXBXO8aTUfIw+K086Fbm
nizpsrDut2NLxnJpdnQKs5mqlFHWlXJYCMkGeVXaCjS7WpFvTF0v95OOxs+anfQ8G112toOBjgjl
VTAtsZWDbJFYBwXBl5LZjDTB6tkBy065PKzP1gfi4Cmp1qc59MRTcehDPTnnEY2hMSGiNI2Nb2UH
VW9yOLdTmwXcZMAZplv2FuhxTZynrE5wT8mSXF5S6iGM1dojFCT6H8s+UgvS7MezfsbXBoiuGlUF
uwUZ51wDM3GUmmjYR8nWpfjDGs5H2WNO7xyP/MzmiIPhXs8izbNsmR1jX4BBZBn4z4NF+sypQQeb
Qg3n6fonk6wOvkm9kCQhOUktPp6euNI8LD8lC0Jp0scKG3FUXxD1IjP7571WNheAIDEnKpWfnNvg
MOKoHJYjfg0xXZ8xj26B3j4PgOPxaI/WKesDzgRonEuW7kqOXB+MpUSY5yUiGoTezrUyejNLFfGO
JiliZOzGQGZXMzTR2ew1L87pU0dxTfQF/byT1ni5jyM8cmt6edaotmZZOXSbl2W93foBErCaY2xZ
6q8PKurcgxmom2wp5trI+Qa2N9xxW79SjOY7K2QZzhIujzh2imXtr4IGM4aOHyJaNB0M7KIUWhXA
tW5J8TXkJDf/JBSvz1xHT49GQAmbhxAk2a4YeyLt+4pjXMGM68M/nEZrCXi3FMeoaEPnMEbdTbKw
K3+oRbqKBDVZHolimJW+hehmHklU3fZLjbiGwLrCop4J6OOuOyIQCeKTNZS2qRURkYyv6Xy0A0N8
luRlgRrZqXNxrizj3DICokEJat5Di5bhxZrpp+Lk/JG1GpRF73WTfewWzFpW+g++6+aH9XOGLAMS
BE6PS17T+FhMreG+dYg+x2LPWt0vaPzaLV+2t4+O2W2HtRDShNoTXflxDVO2lkNDjwTrVlfN8KCB
aS43+FO1xDevL+28bj0LfmK7FHngu/Odb+kEwK+5qtZSC7phFXHngMvZNzOToZDBk9PTFLa6L9Kc
HuI5xsG0pCmvtNMUvgJXpeU1yAR6nnXEtujJSFMpmSclbYVVgjPmY5j+eFosx2fdoF9lerBbv3pY
fZwIn4E0tFwpUprDWyTV2B/ZhfgNY8YoKx0Vm95cwY7kQ8CIWlehPK7/+rQGeK9P1wc9iX58NqOq
/8Tomv8QWdc3+95qtrk932td8jkMLE8OoeM1azitucA+OUIM7KezdvTH5eKyvFfbsgJZbCN/WH6x
rToooOt2iLXm42wbDlbo8UfYdHidI8Y5qbSTp7ZptngHrB/n5voVkbZjVMZqtEMLwtoyc774U/GU
Lu2RppoCTy6tlOUVCOY3Ai96CG3wSn3Gh1sbNjM5fD3tgeVrrafK+nJ9WGmmQxd2O+jTrICWvzJO
WnWw4CW5jbgJ7BR1CXs3VgijuUGGiMgPCWmHm37orvosw8gNY5mFMPPwcvrIHQxrtMzgXCf1vZYe
oDh8sDrHOrpJd2PkBuVDgFyWmmY30mshrqq+9JF+xwqCZiRXLjNt013dpybTVmSxlqR9XRkh5yAM
qIKtapb915K+5qZwswenND/GrfwkU+emKg13R0VpewCWbba2uE7jefbKGHEkoXg43SChqfKT6Eir
qIT+oAmbvDxiQLbYiYCkZJ8DF9hI15vZPi2jbR76TFzpLPaWk0AJsZ+66WxV/qXATlmYYgAr3d3E
Q/q5aFIutvYFZE6+UUnxlXZ889DTq+xT0j/HcHpIfYgUrMecAJYLq8IrVS18I9wkuzqVF9r0d05M
mo+6NyCu70s7mbi5R7djyso4grC7dyZ7b5kUxixSWai0w1VZF185I+cNUuF+Y0a+w525GakhoHc6
DfIHpgX5GZ8ckT9WDnit6r4U+p1Qvv019OuJ0cQy4ilYo/ZZgDNHfw5s7dalcbGP0UBfyaH9bqwk
A1AEY9XANCk097CejDSdFxtFzPCt1r1BOt56FXFrIHPb9WkyBhjNpytkCCgKMFOBI5k1wNS5expx
EPzIlvmPmvIXreD/VW7+f63nf/8XssolW+b/rfU8pEUdvb3+LPX8z3/zf6Se+v9CsulInaiaX7Se
jvpf0jIlQ0warDpN1X8Un5aBrJOkEAA8utSFLQlfQFHahv/9X6TlCXNZMzq6pCvBXO5/pPj8NTJI
UItxz7JsQwgiIC190bX+HBkUwC+ZnbLojiQyMBzO6uhWi4v43JTVbTv2xk6mYehFmZZcE0xrbDtI
k9sC3ndc3tnlvFj5uhutTcgBLrnxKpp114Js2CqlzoXt2KAh7C+NqJwj3ZnKY5zp/CUe5NcgCiGW
mEDCA1HGIpplnfNOslpVjMbw+7aezq7aNh3hHRqQbM0H256DyqCfYYLHUW+KdLy/fLbxaw7Rfz7c
RatFZAqxS2t0yU+RS7UV9wbu3tarq/Dg9IVXpRYmI2rv1ERj1fkBg7FS2yQVwy10on/J4fjt57Pb
XEsqjjHbeheVNRtjUuLybr3Mae4QbSSIYIyB7ork6ovSoE6uqogsY5oRe0fk0d9CY94dP+vGRyas
2xze1NLvI6fGvqVhItj4grXeNq77h4DUt401CWOj26GDe7olgcRBI947KQu6ySY/Ga8c/D5rSYyp
/xYN9ftvRLTpcnIZrni3RTC/+z6WxtbTCnIFELAu/lq7uv7pJP/P5fBnqfS7tJxlxwuT04Vhsy3N
Jfvr1xOnCRyr6Suf2O4ZCfGSdrGvRxk/l/6wTWQbnPQg929mJFmO2RvHbtCGO1XXI/K4yrwuLXtp
w0l5jiPb+Usg2a9xOT++GoGZumkZJoekvWyhn45JUfWmFRrkWzXVm/JBbEot/GpbdB8n/xF2IUgJ
Py7/ciT8e7MLE4qEKWzHQD/2PsbdD5MYoUvReaTMCrJu3XRbYozf/3mzc0ks/0lz+vHTTNt0KbgJ
xBTW8uc//TSwOeZy7+SnBaOzmx1+BqTGZpNajCb//FG/24o/f9S7HSxtPagCusWeM6HL7tJ+F3Tx
Wxkjy7ZoJ5DezQAknC5//lRL/eYXklonheVIlwP43QV5CuGODgMntIkLcBNqbX50Fxt3pDJgLMxS
e6IM4qlj/jw8tspG5467hkuDuyk1xGYE5lr7IdbITJTgyvGh871N1FRcd52uH+jgJteVoDPdY5Da
+1r0vQ6sGX6heWEc0m/zOviOQHE+TsldjYB/GySCZudksr7apEF7b3TaZ7sS0fEvv3zZoO/2raXj
czEYjOCLeH/YOk0gTZotrZeabXIwxujeanNy6wJ+lcYSaVElV0MPmr93H5vUpnFgT3fMS9QOFFO/
l/mHtCEiXCcMEpwAAzyHWaM1EW4TAKDMew4WswcHiW2d4BRwpg6RIOXiZa30HRpm61rgQLyMyFEy
JvGoFPWjT1EEocqMCSYx45c//2TD+Pe9Cx0Y967lYiX437tTFaAiWQQibRkoqWzfdfN5qOJvYzEh
lBme5rigG98RFjYIMR5RiVsbTXyf3AY1XnQAgK5dB8VbjnrtWtc/mZEsdnVpfAp96CkRGUZbVxgH
2QnyomhHBVaqHt3OP7r6l1gDyJCNLG0HunQbrUInC2vOa3umK4RjMvJvszNmT8gMGn9mx9n92Dv3
blE+td21gf/bzqE24yK5mK1OQjdglvEczwEcjlBRYgwg07seXOEAOOOcjG69LahldoX9QdfFkyPS
D3UsxNGVGurNvNu3PQEpBeETSR5ua1tTyPVKa1eYMIw7O3pGBehQ5DjteJid4AlI9x0y+9t6meWg
xd840/B1oom+1cqcdJygyth2dOaTk+ncqd0kMwzkZfdo6xBCBq29xfB7Tho7O4zlUxVhzZts6FpF
T72hL8PDGcvyJGqTjq32AKzMpS76Gtbia6HqO2E/yqJBAlaJz6YhH+3Z/qgy/L7wT6/QzwGmUnDJ
iKsFANt3TzIAXxgLQCNFVi5Rp8t4oW5vUwTDfz6q/n3hcrhQWigsbJZ3+Hl+vUaOuAc7wYzG6+z2
UGbjEu5Bgmc0PvojhGmsEejz8vwv1//ffupivxO6UMuN4NdPdaEFOC6zVE/TnxsaJ12Rfu9qeTPO
2lNtJy+JKz/++Xf+Zu3jCMWdwIBiR1rh6mX66WbQBG6fa2nH2svumQUnaHjH+EOttQh2X4Xq571L
gkJL/7sU892fP/zfJ64jHHNZnruublny3YkbdKKPh54xC9zPj2VtYsQx8Y5Azjkgjjkhl1DaG47v
7C+b2fg1R3K5A/LBtnRY51qWxab+dTtnuq8RzM52tjt143KG7a0s67dpAFIpyaNXOoFyK3qUVWk4
g3WAP2zl6avsn2PRGX/7Nv++6/NtHIOQbqEM9a946iTSZkOWJJyMI6sgfblsAJXdu0EDW8qBlpAO
jXHTKDTR9OFvE1jXaeqAFAmHx0KaOdAffffnPWP+btewHjaEY9AoxMz26xaqKoLvIiwBnmlhU09T
bV/KBZ0X9c8o/L/3zSA3WCV8rERmwH0vfcms4mFSvn7dpMYnglyDzRG5wgl03oRG0KDhIZnxsV93
yHkejdi8tBFUP5YivYeVnSlFdqnm8Hto012gW+n/ZTOvy5pfb40/0hmpCC0mvO/XtPQNNI3pHDRj
e3a9fNcGdHyUn+3zfsn0NRKMMHGEU8BCqxSnY3KcG0b/tDc48YFxMsyTr+bM0kX2uFCSBtNy2SL6
hDIzZ9ZODWl60AWG8SRA3taRSK1DGthDHJ4JucF3XbvX7qjaoyj4wQsCyeK2OqbpkdSiTRGBCPzz
XrSJmH+3GuAnu4ZhYUMkjNJa/vynkxtTrZstUwmvT3DMhiENXNp8oQYosjKu+7baBiK0r8KBxPMO
yickxu8xsFkgWOEeT4+GbrqaqAKZgVMAwpWw7Hkz97C8gAh9zEZaf/FSzMLDO7Qps/jhqQ5T55Tm
RrPvhmX9I61dVtKcN0UPC8oEhC/75OQE+GVKv5mRiU6vc0NeD/h1fC9+Y+GOaT4gCHr789ZYV33/
OgB+2hrvzvoBVbxNWHUD6YAB+5RONcRl9KLo3oYdKePZnutCCfIKCbGBw8g1iVlRSjz1cXv75+8i
fnelZwHOTZqrkKHeX/qcqbeHSXSN52aq9wam3mfbTJhVQiyqjOk6EkjgyqgDeRoEXBBS4zYbi+RW
uSU2+vSI9a1m6q2zSYkRolSdzsrNLNIKNTzcyxonxk802skXAdyNXmXx2hodTNUAyIhf4WZhYzzy
zz6C4IM/p4BdhD2TM4Pomz2R99/TvAWBrMxboAT+AcrYxwyD9sZxkX5bsw/rj47rZOlXocklimRn
NOAQMA+jiyo70l8s238lkvNJdjH39tLdq7Z66Yg/tBY5VgSY3a6DN8eI09Nftu2/D3qp64ZtswZG
Pbx0nn4+6MFqqMSPuZw6dvIa+G2x02Y93BQza/o/f9JvLpIMVuj/UCjzr773+TaMYHIABY0HIeZ7
XGLkV+WRS+edMzCuJUYO7oIdbu3cfvzzB/9myUsvzHQwOdu2VPr7wpmsaSZNvuDynAN+ROy/6ZyR
2WvbfDUt+GezQ6SZ2bUbCSNrIxACMw6kkvdZ12+TFAq8ct7gOwKaKkewYMh590V0QD4d/uWy+5sD
XWKuJvvPYnFBYfvr3miDqDL9WGcoRyorPt1z0cSvvZ7eIZGAgBF9b1Txt2bWumh5d6bT8TNdB52+
JaR4dwi4PQznKOLsMvruRmfQz7V/pxSCcqmuAweHCvr+8qBhIKbL8AAD8cpscgDNLj5Aq8B+aNXt
LgxbwI8+C805mh7R6Z1b7W9LoH/Xa+xIwa1TsV9s/f3yK+raXoQ916SBzKsdciGkYhBpNphPImhc
8fc/Hzi/PWIpkeAq0G6j0/fr3pBujOyxGxvPYnTcmhfb5lPNXELmT1CIcfxuXabJO+1vB+y/K3JH
kjNuc7iyQ+z3QbdxYwSFYZeNl83tC0hFhghUh34IIzoc61vKla0RUH8mgM62EkDEJhbNjmBD6nA/
gBCJ6HFr6f1BdxLmxLL8y63yN60oviCkU3pwtgIt8u6QIblTzGEDlc3U7FeuKiidQdgdUF9dqBu/
hRGr4952DhIPowPbqIR249szupTaxJEXp9+tiU345931Lh94Xahyf5DsKapbggDefas2WMJEc732
pi6ID3o2hVcaFPW0mZlqTCxem3bRlUaBjlQLLzILx6vSpImIEDm7mzIPx2f0wRrHb10cYi0wgvs1
DRWIjqtZ87lywpuZK8115VbdTvoi9yIWmjc59wV0HZfWwZpNuDL5ziW3ibxnCRfpEwGX0u1fmuqS
l1QIKDE776qBlJGO4uPcpcUVBn31bFbB21zh1e6N0BsWYk5qcFuz6rm8Xib4FWuAP2+w3xzfDrYu
yA86SfHKeHd8h5oTTSKXldcji7HmKN5jTEaVkCN7LDrxGIXdvdTq78zE/rJiNn6z1nK56yhXV4bu
OO+b2FFs0O6vVeVJ3AfHWO/sY6T5vmeCTtw6hTSuhro+9SRvnFKf/qa1wA/Dyfqf11TUUsLW5TKN
+NedoczLGT2CXXlJNN3WdtZvKhQ5+2hYzHyh8To6RDBNRX4d20DY/7z1f1dM8uF0cyliFL18+9fL
izn7IIA6PrxVEwK4IPRMp/gSl0FwDbDO3Eeam2+Deb6KAeWWYRX+5Sz+zVXG1Wn52dKQhi3cd7uf
lVLeuqEgmbbDPlW6Vyg2YgxUmyjOzF2t//UXUwr9ppZkTam7rnKVY3Ed//U3OwnUomA2+Mw+c78U
pkIWXraS4IVywH5cf0jznoyosXIfNeEwl+38N0uF4VmNfuWR7IM9T3vNY2yQXTaBOiNTeJsMVnDX
me11Y1T2Jiigo4GghQ+kLO3JYWYOaUYss9TkWktG9dzQYsL/WpIrmr40Uw+GsKnj13Z0D9bUpPcN
GY9MEQrBHVCn7M3H6ClvS/hdZUbSgDlaLwkRUr2EhTYA++ZM75xLYCz/EDzD14T8z7jH5KDrD3Rz
tEfbZxmpBvGMVpxEGtX5Fz8ix6cobO0O2EJ9P2Nx2nSDdc9go3pqv4OIxP0y9vLFsZ672Yi/AbLb
1ouWroseFRXEPRxp7TLUiDfLLKfmdkLffYiVO6Hfnc5hF93N+KOfyaLC5z5Z7ke/iXPPUphVMVjY
t7mbPrOS6cj2hHo/mvpZlB3kpNb9TBGUXEq4f9cLa3jDHTJ/Hqf4Ua+DbpcNGM1co50+hazbMkKJ
CAEQKdcOUkPbGa9YsgARcQcUH+JIfTXDcv6qJ8Y9HsxPLaIr0rLs6DKpLrp0Y/tWTs2wDeGkzBsn
K1CCldFMvYf+KCpyKrA2netdlCzjbSMb5T5CA69S1FogDljVd+lLq8WdZyyv1rdUOOPA9u0MfIWK
brizRzdtUSDuo02yvmU4pTi1jumlS2BOvDwUut3/eLa+h5EMjUrte9HoHOLEEkBKK3m9PvvnYUAM
vy8HenKOKLPDFClueziULqA0o0tgj/Q6A2CGATbEczjqGoJ8bbETq/rzKJFNyxmRUhTgSlmfzRlx
uGmKUD4hJfBWK+r5FrCKWfjV7foOk7/pNkpj1EBzcizg1La5L+7+eagQlUSsVW4U0aI70SSjl9N+
PzZTPrLGLe0nVHjhsVWZN7QdXOwB5eImoaQ6uXhWicfB2KAUHBdD+B/sRXg85caLFhaoLUizxUfR
bvSy1B5aHHsPY1Hd96lqL0Wca3dGTe/YjRACg5zZiUD4jwGkKIyUyGvXlxlL/AsK513XjFc1DF1o
VyoZ7lgm1ANs0k0bR8juk50i9N4kHPUea4nAQzamV31Z+VsDw8wh1mV8bxd9fE+DCb7NFJHHMUna
77IPz5Ye9WcypzCDWcp9TqcY/UpRqn2bm/6zjEFw5tC1WFsh/JHj/DzZuBXjoJ8vOXi4Z6hwJ802
3PtMr0lO+5wub9oAQYljASdilUTsUL48Bb47fZA4OWplVE/VVCNgTgJM/uBl9rIgwXGiJL6VTWTd
rs9Yug7UGnBLmuhgDC1rpHiy6ms0OUAIquSztUSdKqeVpyxMJce3jY7ZL26QAQVoUtvaE0a4y/gt
T0uPcmMmDoY8EfSHOLeMDzpIWfT7BGiXzR4jeeq5ve8+9XCnd/roKM9K+OAe/htkaHDOoE7m81iS
Zm4SrDaAyKNTfw9xofscjPbHvhuAQ+Y5oGbTuikajpPCBJGn1Vl7afCX2rIM30KZTRvTDgQ9CL06
FIHI9oBC2KB5m30gPh7ozSg/ZTHO0oaYvittRDMlxmeBOfKZaNi9VWo0juFGQBupnE9deKrMSX5m
/gsvrZ7bY6MFyUchGbQv70uCQtDzENraj1xWIUM3T9LW4BPW5nTsIAmX9Qw8cYo+cyFJP+eYkNMy
+RCbRX3nGIl8DuMDYQTZ89gN3b3lRJdwei7tynh0are4dbLxKSAa/ElEuIvjVvu6vkrtKLrkDWGz
qPLM3ZBr7A16r/fcZFBBSX8Jy/I/TAAJ6QvN9jllBLorke4crRyF7kxz6ViaxvTk+tLeRVFpMW8r
pqcU+Ps+VfqXccB+XBVx86EbQ+Pi2tFD3fTNh3Z5MBYd3QhkAkxL0mIZFrSdc3c4Dbm5eHh5GXdt
/CHKQfgM5ENmde9VzqiOg3Q/kk1GDvogORdNAndAv6GuTKIvzTd29HDEfwwPhsiEO18q6nGoVCl6
McZyWBzHxPGcqmVMMdQVMl3iRATwwD2CfiwbUTDdIpGfbtdnfchCpkhgO8xafJhGi3keidF3Y1aG
tzJ9dqsgOGS9cGmNkVqigxmAWEPHRlV4dnC2midpcO91K3c+uhMsXov+WlKGN8jOi3NgJOXZLjN9
3zSx64G6xTsh8gMj2ubejLDWWqOtzhWWn3MmbY5Shc96vdkV9mK8JRhkR9N1vlkfBHMDI3F1T2/q
4Np2q70TGOaV7fuvc9SeZdhmEAu+FVr/VfpAHFL6bPyAs4uZq0uJa6OidneFGsH3tsHZ0INgJ3I4
tDkcBHOajzVlxEYAGdd614Pp/gaD4SFJkIV16XQI5uibNtVejUUCB7S9hyXFt2Dd12NOLJRznM2Z
4SuO/SZsXlrQ1L5Zv8X9NcEZeHZ09N32pz6SD7pGkgHtr3uW87t8RJKiEnI3pl4Eu4o1pJbZ107X
vpjk08zDMlUub1MVLHddJku+jZJEbYRKXhyCee1ZfDXN0LObyBuRIfYulzXte95HN5PpvM0tSsfc
KrAUYXrqFMGwdQqFRW9LohCYMJkBVBzVzWC7pwpdqRufjGJ+7iZ5R1zCvDPS8iqpZ5iH6T3OT7uj
ZErL4QpXT76JR+Ng5bPXRNp+6k0ocNiJUkaOavpGxXlfYkncTape4p5JFqLEs9hsLFkhouzKnLUy
YvO+7YdrWT4lSdVvZSweYltHB9jgcDZ6n1WBoF/rZ0QERM5XxyB3PoqyEGt5e5+7/oOcIAFpI4it
JmZlounZ0mRU24FuHP6w2zQGFz7PA+FTbnbVghLJLIknLtduo3EkYVUeQHIYO72e+EGW8Tkv9Rta
JQhqHS/XzZ2aqT3dZn6DWI6hsoeEBvKdkAmGKhiiUuwStXNAuXkxEz3eoQgptlVp3em1Zm0akcbb
3oi3qfnR7JybqUH40wsOVdgL5d5M4mZfhdXNoLT8oI9GfWBUhTWNTE7gceaN0Kgj8rqMUP2Z7hlJ
+8m01TcUh+WucKzvWm7ppIEXFiEj7k3Sz/d641IhG4JQDCn3tqkV24QcQiI98FvR+MejGWIn6COt
g7DB0ELOFxX23WkMQ6zkVuBVQ3EN5eqpneeWcB8SxGX+PaeVTJgLkRbZNyeOv1sN6QfDnJMrxsoC
9w9W2Yx9bPfNs+ytz5VRIjAgbkE82LeRxjA6cIHNkBKGccytITlpbOBSR8AA8aKM2zM00yJpyp0+
dOml94PDbMpXVBzoVCuRHGopgk3V9dx2DUJ84sHZVFO7eid3sT5+FIameWoYSKgA/gmh2yUBCk5v
wX2p7NVVZka156MEtgJ9vsIu+DXnBhjDHrtvp/qW3KRwA52AKLeqHM/YQsfz+qyJ9F0duAhuG249
Y217wxyU5xLP7TlSlLn0GQUo0XPq2BpSEHApOZk8la7qvRu5+a7Q6Rk7MdEhGTGJsB1qVAZNADFK
0IJf3+xiqzqDmbq2xsHxmN1UZ/gKdBRLvdrp5NedTeqbEj9jaXqd3l3U8oGVPYHelYqrpzEKzlJn
U8CA2o4FXr/1u4cZFCO82l8ZDUTnOBijs6R2R+0Pdreve5PLVYBTCBf/WVT49KpskX3U47wnTO+G
PKajGdTavvGzL31Q5nsMatUm6+EDwlQrzwmZwBAM4KhpGOnOoVDTsZiEFzJsz0ZzuMqcgF4O98yN
RhF4cmqZoypuNHBTpEiVyEYG4KtYAUxSQJYH5oIH1ZjusdYAVzdZdFW3wkailkGmSEPm/1Xt5OdI
aC81gZqHZnm1vkUJfh3lKt7PdXaOiio/z1mYn51x/uwQuLyxEPWjyyFDu5MomQt/BmgVL1u5gtW5
M8o5P/P1INRiqlVtZl3FDjf+UE/PbVCn52R5ZgwhroGQ3Km8++j0fnHglX9aH4oZlKydG895GmRc
ToTarO/Hqculcn2KdYDASlMd1wjYCV8KSMQlDDacj+C+qYIGG2yOMRyhwHmqrqCW93X1EpbNePjx
UgvdFFl9h0fcEgjwQ6o8vCwppmPIJTxMmojOY/GSFkH2422ntZ1NLoH/D3OZ5ofWthpqDfgiWddp
J5LjvhgUpnuGGc7JAl7Edby/sRJ3PIWquRDJ4RC4ywxNx7nlcF8zFIcPUVAa0CGFzT6LkqNBBbc3
Bxu2QQrPjrC3S0rH6pKOJTZgVweWq5UmJ3mCYAOT5yEIv82O4Z9p8tX4PeqajJyrWFb6QRASCirC
gWJBtNSQOM7GZvagVdSqaaJ/HTpCiw1IXSR+uG+T2R5GJwR5AEBpGNqcrACA5xiB8Z7B78SFvD6d
QcA3Z07i/CTXd91AQxfdry625d1u+Q9EZcR7y6dVoU245nQ9hN/N+xbBd5wUy9/TJZJ6BCfL2+vD
+s+vz/Dd2dt4yeRYX/74nB+P639aaAa+6U6rtz/eXP8WNj2+7vr0x+vFwmLizPrpu43rl1//+Mc3
EVP6IswZY8nylf75EaEfyv/N3pk0142kWfa/1B5lABzjojZvngeKFEltYKREYXQMDsAx/Po6j9lt
mVZVbW297w0tIhQpRXIA3L/v3nPW4+i8IlaD6PD9q7kBIsodeU3H1Oi/rfLff/Vd5v/n337/1fc/
+y//HlEO6ul9+fL9z78/DLH635b677+nNORugEtev3+TOaXJrWT1+Y1s8AKAHTL0HTjZEBz++eEb
74BWka/291/yTAfwEKKtCwpxqCzO4knTUmEbGmL6VUMB0XDOZCiBk8xui1Imk9tRWhG9Pz9YmI9d
4AjuZ0k47i+w5g4guOUuU+n95kVUL0wezlswinshy3nlx724dZPVboqoHM8etWuac8VGyoeQGWHd
1qk72j4ErOx8+CrM0dzOiWR9CqQuc0FUPLTn5mfA1eWaMOrgnv1D+u+c2JKV4kG+aOTsL1sJvdSE
oUIBtvhqx+6iXPtOYIXY50jnN0qiV9BJpJE9wvnm7P8K/ZtrmQAWmk8otgXNkobOrI2uClrKC7w/
/mgw/Jn20q1E/J2o2dvCEkacQrgI08aOq9VtfqDDQz0t2jiCH8TwRFjIQRQI8aA3p2VI2k94kV7k
zrgQA0vgtArpfpRqqX1J47NoPtMfg27uKZSBRY1mF6HODdH8zc5AOTt08CBdLnh/fmmNFSTpuHgE
8MN06xyyGRCOm7FFGB8igHRmWMSMhYmY4oTUcSk19NqqquAkRQ279Nqb5RM2tmELgD5YMYwMb76u
PlEqA1ALmj913D8bXTOte/hby7QccfwlkIw2hkTvYAaPWGLvrGxFSVY2/davyvAYK7IJKWcjqxyM
XW9/eWVk7RL9khDfekI/JBfguU4G+ZSjNe0nXZFGEuYpDBG+5iGwnrSv0pXZyHJFd8ni9XzJ6j+V
E0PF4gq8sVxo6ninC4wNlreABuFvw1jRa8nNRTHF1dJqKc20KmesZeUXA/3Sro3mLzKO+cVHRXNw
VHCUekQV4erhLgiepbJ+NRBpHX2wH+w6kH5aTlOdAe3vXO2Y+ylPd4yefqLDA0PI6GNRRxi0QNFD
s3UKvDh+Fu1au/7gdqtX7HBgBvi2vqYgdHqOfKXBWr7ukVOXo69WmvUmgfSGjaL0uRBW3N0Zgcm1
YjrAL6TPXGgmQFkpAlj2srAs7+SYQk4mnA2IGhw95b1oG+UetZnJKIi4mKusl8Z+JlC/TMfS2Uuv
rOla1byJJDrxKWdkG4l2MTNJJBWVvPsZdIgCVthKZEqdOuZDyLApp0qIobVLuxB1zdto1cUh+MyB
a18bqlGRypaza1/6mAkD/SfUdWYFZIz0h3YtHv1JMuIZxcFFJyiEceGGgJtQiBcmLjjHS2ARcN7v
WeByrVjOVvoqYMls0hIBUVZxcUoqDqkAFYslVdmNYRQt0w8wxn41gFiaymlb1f3NtXFRP5zNIXOu
fd9DhDdbzPQpYNWpBMtcBPalsFkL56bD0d7zXFo6PJgL8+ORAasNxWGEzw73Oib6xfy3ZJWM+Ojd
qOq//TA6h96aDSDJMVhIj7iWnOtN7GKaI3dIjWjs7LVhJb8Bk23G0oX33iH1SdLQPydDkpB/ptDf
lMQ5XcVOmrnfiZxTAObJdnl1Opg51TjtFL7Ubdal+Sqyhz9pWk13noAEYXTfL1Qz9oc0z+D5D7TI
1Sy9vcFtziLxfZQP3LPXVEdLcwATpv3TMSRQZXotexg8iMpmI9xNOkJImkErow36oxvFn8g9V9iF
MvY4hnbFYxKcoQRB/ZRUaCRmrO4W7LfV90/RIBpIg6N19WPFJS7U2Dh8f+uJiVgmB+Vz8/iANi1x
GM2VnX/o/NDZYkk8tWGdn//xwebZ2Inwb9QkHLBYQtCkH1j90YLnN/Ob5FSVxFTcNMNA6a19VoAM
BxsgMEPeH1uC8xBrucjYAfsLGcOgIUFHH1PypHqcJu2tq+I9lCFYmqkkj4DzBqI39W1sOd6EQ1Sl
zf5baz6WH46VWTT7EEMNQWKvfra69DYFISxGW9EDGgf3t1IQj2ye1saUMRgKh51j9h9TOSd7P9L8
XqCHo/CBAbTAEczJOqjTel338PiCNkyXpt8Vx/QB8yiTdOOlcft7kPq3bY7LNOewU5qUfNUIW7H0
pq/KFtAlxHbKJ49ZaLAYlVGfSDlvNSfYm2XHi4y7zKInurmwe0G6RgFZtZEQZmn5OnfZOYlYasSD
pEKtXINvN4oesq92MVOvDckrNT3DMK9RgHYudbv4nWEjjuAkJLsDr8IYZ5ttTqiOJVgSZYO6tHlG
9fxkgojciodnsOnVYkquHFOHTd1D0aINlS1lbvmbFv+z8UT5COZKKa7hHIQka/2CkTrwAr8eLkMM
idIkZLEe5OOOFRTTISxALxr9eEvaY4cJvLK74JpzAowLQ92VqH+necg3naPz85i3b3mTpduJ4cum
6vXGZWq25pwMJB3Y2FpNdbBpcuucONxCQJkuB7qlR59l+rrgob1CrjpvBqVBSY32emJSv3RJP1/b
kJeL0E9gZ8nPZU3CK5bTg66RC03vVDok1cbSX2U5YC6/BNdTMfKCn02ADTTKaSQjvtdx/gf1XL0U
lueAU8hZ8BTiswAcuXUGxTOWWdfOUnO0hpUUL1io7ZnLTHu3V/mREvVSd3W0N5AHkooaPw03FMfm
IdQZwzDGgcxwRs02y7YRapFP7u/CKMA85UWztPoouzUOd9hosq8WjHUET32V3e4Q++ZFznp1F7uZ
RiAPe3XheqO9o7mlbiJ60krIH3URgzWO7RsZhfIH2fh8EwCHX1n9u+qj+tnNsv48Juk7P27Ncxf0
HOtdnPRh9NfWmXxLe90czdpACv74W5JxctV5dg5KrILtXjBjgM+8GcYBgWtaHIO6WytEH7px/Tc5
UYwlBMiUxOeuOlXjFVSsot7QcSdglORGWbaz7WYAezzM2C4Jg7qZI/cFYqvlxG+0Dene0rL/5Y56
X2SBvtdeEl/YmV66sZbPqNl3jKAs4mjFX6xhKKN7UOOONP/m+PsI8Z+a4ZOBRHvOM2paHZ6j79Zm
JntEmr2w11k67k2r7fnposIag0s7ZiyzBhIwW0moh90Wx86pAZgV6oElCZcXwHnpTtSw9cFhb7Gm
EkK2f6dBv3YnLUjhxVhx04gLbtT9skV18WxZXVyLcWEku3HvIqQespK2PmWlfMKCCZ/lpoHlgNn2
9ixtd6h+nlzH7S5TpkzeIBYuuwo9KzzoRRq5yG1LkWzpsoenouEMO5Rvyk5GTkgpuz0r3Mna/vQ7
U+xhh55HwRhBjALPAkV388E0KNg3LUSbcIkPnJOEUkS1joGo7w/rPJsxpyGaB43s7bskLTdxgaNi
7j3saLHDCzeaCuYJo7MTEJ51BMNQDdkVhPnKSq2H/saFMRwhF5J15mzskomIwQqMoMkErNoRS3Og
dTsjodwT5dnPSQH+IyiIVfGkGJS3EYyqVm5lAibOXbxC0fQzaSwXJRKVN0kdHXGeDDdloJCctmn9
wyrkuvUYKVekW7a1B72eRRWaMfKO15Dx+MJu0LH7LN4ss93zRBqJfniawYdOngIw9iax6tYNvywn
0nstmAy3Aq7tlHLoG7J6ZXPLBnybcloIeI2a0jHWttOfcTxOG6C+kLu5fx5nrrPEXSOWBG76y2bE
uneC8BfSJ31WyIaSLLnFI2WRog84J3mm5HDhM1Gpud1xo1U7k7C2GJsSp92B4DQ7Uiy3BHJdtRXI
9ghhkjj3xn2UK9qfLYKaAek8ptZbhgPiohoK05Y5vmBCiDJlvFojWxlf3bOpiTaGGH9PnBVPGIOL
x3DtRF97BhWP1YAvDAJh5zWq3GhtpJHxyxv+RH7pvVrZ73qS0Tp0x+nkBHD4H3JhmwgzL/U8OSNo
TJeWU6KIHdtz1OXWkx6e69ymAEEs4ZxkQX6RHU8SRvnbnMDJXSY946Ei9c66uLgBd7k4IDUdAETh
ZNt294gTzN+pUP7FSCcm2C7hVQ/KYhoYfP/WjBcAyEFNlDNtoseH1om7jfJnf8GxMbyE5p2110lO
5g5BVL5T8/xcJ112YkUxPSlUBMaMxV73Gesn13lr2hmyzOMDY7tdlttfNcizdWsWPiFUHzRAO1EG
iqfnOcrGM+8D/eRo85DYya+BMTFTa5SgbUIqzTfC9jz3keReYKgVaSA+raK8VwIotuH3A6NhZMqs
6cSyKsg+B/UQ7DkxwOdUkbrZwOHdTUh2ce2UYlr7nlniFUfHIpJ2DfN+PgJkVevUNnHUm8w8TUOz
zgGG4TZusrWmaLjn5EYGlpRNNgYnuqPjAQrMSAl/wAUwABobZ2fd1OUIdYZ1TpoilUwaarUytlY9
SpGNFTBWtJDIxfWP0k35LC0FpSVccfQ/RJlslFtHFPZBCMwRGL7OiOJTGpQ3OMbpLmHBwAQUeI2o
31i+8xRxynQzZplceWk3XTG2o7uYvAzARtSvyz5TsJBYBlnuJ1lUA30s9tXRSg/kDdTx+4OhhnBZ
j3xiaixnd1woa4/gzTNoWtxmGr9D3pv6MKXBexnFXwblzVshBFHJsgbrwzx5gjXCkbGs13Mu5Woa
RL+qFNhQPKHxXnYx8hvZxFt/7pudW8M/jMD4AbABm24kjx1/yu7Z3XS4FLfdwOmwSYO3uZ3PBXC8
xSwGdRz9tGYpUr5RjO34lgjTdWJYn5MDHm2aiuHQcSfeQkRqVmAm7vbcq4vU6XiNouoI5dFeTVJA
ducptC0HbMoaRivpoeQVF4fFQ7Jo18IgwBcFGUehbEDCxUTi6sYfof238bV4DauBXJ9XvAM64BGJ
5++duXoN92vZDI6352Lt8fSm8DckoiEyINQmkcOztDKswhwpXJlue697QB+jcE8FhunANu90uqNj
/1wmSb2KkBEsB3/g7NEFoIHzrt+D/SW6Aq30gilb+l8B5Ntl0kTuynanZ6hDzr7vejSdLWEFmxAy
qE6+ol3HvSMgJ9ATeCNq07kIZLyYde38x3NI4VYsx7k9wm2z26nZVkYHsloTfKcM0sUVWr+sALHS
+ETWuRXlHXDKjhAecy2UKcwrsEsrnHF5an000bq1UCzT9Ng5XR1uixrBXQTkvUaaSNAg6dF5unpb
RPNOl3W9AqP3MAmscL6y/cQw4lTO3wEOPkiKnEm/G6XiZliWPkS4eVEhrr/Ni/bI/MeL+rOSxvso
x9+xzSxE9jHQzRkgZg1DZV8ZmGO0H55rI8fLVHXBijSVZKHJErWxrE0p7HTN+/7xo4uOYJRqI8a3
rMLUm+FN6iTPewDyymsaXvXAiJ0wq3eC41Q6DTAEMfl2goa8F9lELhnJcJYgX1cjaQCFtkGGGizy
LHmDX8aklhk/l1TyPDWcYVJAl0LNEOTMfJtHk4+hZ2NZwDlmoy1Xfsnwy3bDbgfUzl50VSm2kYJ/
giyvg/bb/WEebm4DYL0LitLDemDJVuTVB2sybzvFgrGWQbWGUxDe8wQKvGce5QPSP4o+emoYLk0j
+9qe9sLR0F2CUbF7anJUKX0eE4foDedHV374tlMciMHqRScnbJ5J7e76x73eYLCmu1TsJuq9GGhp
LbiMwuncZozRG06O0n9NDIj2raxBwJrJuGpq5AlQ9fwNT8MjX6yRXgPOGGIe4go1/0D9rliwVR04
yxISV9TIwNzPzjJJWvwDpHL2cpC30O+QT5cZk59WqYvvc+aEhnfiIQw7McrDa5EyB0mZraVZ4z7Q
UM+coGBhloKwDPofEdjZyqHLz/IzXsedCrezKYlTIJ9vKn9lyEZden9+ttiUPSZS/sGyC7ly+gpk
T8Anbqgnrv8P8HkXWc9NjlSCJxw+IQ+zaz589IONyDtD+dgKxnvJGixwsrYbjm9xZX0mYGzYcpR/
Wi7t27FGtmBUX2XeJicidsHGd7M/A3xOAjJxscuo3LvBUK1sWoQbJ4g+bbu8Rtn33JZB9gSynTkS
5d+e7+rQML29VSaIEEP2L7Iq2mXc1caxhd61sKkWPjxODs9Z+cWel0sWAL1NNENlMTTDosDIGCzU
41l0v5hhLDMOIq/+sJ865R9yq7OWlpvx1QkwANeJbNYU+A/hLD6Un5mb1Ezyw4hviSC/tbZT3e+b
hxVrVDxKOEfey+ivBQHsbjruRBoiUOsSBM/Wi/nJhCK4YOYYcqEmoBpSG4nxSRGSDPd5Mbx3BcCm
uJvuqD+WsWpq5KmGgeG6YkM4cx8OUABtBzD/ccV5IC0YBk258zuyGNE4ecdXeXB3lQ8M1nPHYpHD
NTq4gfFZUCTG48LPL5f/x90qOI6C/3vOGHj0R5puJSNHrWJWjtdwSnbCJ9LFhDZeOU0ktj7LFoQl
h1gG1WKYrGofGF6xzRj7bbTzbk5GcGzGDmt5OqR737lUDFkQYuajga/YcmFK2CHfAXbLD3KhXoUf
DQeKfYh9ZtNbVqyfRsdjoS+amhQJ7pjE6cLj94dicP/UzNaY/aXNhuFFiikd53VQO6dEiU/OlObv
Qjl3NzKTSzI1ATaq9OxrpOhNqlE25/i8y4j7D40zvsBtVHDX9HbMW9LXLKwu8wDqFbjnOasf67Eu
fu6Is3JgKjKIUXLf5NCNYjNW+3J07wJi7BYKEXrhvGG9t+SVkcQgIcl5/O44rvUqeI0KxeF8EPl2
zJ18KUMIktMkXjK/3Mm+/UBBmT/XjIS2rMtIeGjRXGSvnjlUTfvRBGA3lwU6W/hLSQfKPoSjTBF8
jVeZa1qNCsNIB3Bs4LuWU0DBvsG9lXR2clAmb1Gg4twNG5eCeZtzFUBRtcK7fWgAGmAndzePIDu2
oji4t0mll8ZYm+iawl8+wbWliWQMBirdA6pbPeD/DhxXJY7jFMOF5S6Gr7g/5mARGDQM1kYJ7jRz
ZZ7D2eI96NdbiR19MT3g/IzG0FqHyDQqqMo9/XK+xtHTpYhQ42Rhb6+dhp9yVKdMaJIyOktz3Jmj
Ex4KztJ7XdAy9yDULnwAzIkujN0Yb/jv4F5uZE8T/lzyNlNyCakMJghGN3ZsFVvJnpIV1Nju59rh
qmycswp0k2viqBLWXO+7shs2aOktMHvRwxeqGWl6bwU/KzdpTYqjQrIvSVBdZW3gF1N6DxG5BYof
gz6ok+I88HOZiNE64LIhbDJGgBDIwiX5JelwubWFm57yCIjWpDt7q8pvbauZLb8f/IHmNukbUCKr
DnMK7w50RRwVzaa+VXF2FTZD39nRqwJrBiJclliS78t1XNfmrs77M1P5Biyn8n5EHsuJRNk/0DMA
qRsIH+mczZBOrc8yq8tb6rdrXTXOe8CgZUkViP8k+h3rspHip6l3nf7q6s55boTZQeDqnsuW/BT3
YYTAIga/WiRflefpr6pivudO4WJW5GFdEPjAHqeTfriVW3vMz4HtbGe4we+8BksyiHa2zj0USb1Q
TMf7yb8kOZmSBwh3OeoedwaOeYNVepTaz+hMnhI5801kcjufKoFQQNMQJMkpLp3i/RFlnXvVNTL5
BBBBxSjv2jw+TKbEst2q8eaMg818wHReZlLji2T4SU8ufNxxwWoMxW2qxbhrx/qvrLHiBpnf4GAy
CRQ503gbQiu+KBOBRlI9lRE3X0Y3/tFlzgnNEEh+IZJsaaOvXMOGRsaSte6+aVVKCYBu21xz7ldk
aTMOteTgKhgKHZc6ezAe8uH8l+VaOEhsY0ttM9nYipAbj/tfsPOQ8xhVt0+rIV51qcrX6GY8GlRJ
u3PoOv3I5fy35vs7DXT57IQ9dDzu0Yucn+XZ1OZ1GHn84LAiszqD7USsUSFHfARbnKBntTpHR1yJ
bFnm9EShEZmXdYoVy+2qE5IASXjviri6Dl6lDrnmu47GUHsMvMg8a6dsL3Zb7M2m+iFcg/EzzRzA
7IoDTecubZ8TlxXG4mWcwieG/d1BB8nKoSKAeD2OfpAR/ukMwYCcosmPjQee2275ga9EmK58kTIh
Y5p3DjP0ZtqmoDsmtjyxo+WOVesdNopp02edfa/G71Kwu2oA9p9GL24vvWmeLZ4Zq7avbCyTvEWM
gtGtF6ck78g2DSyw3AJPTUGe9Ck2KvMeJofW21K2Kn7njKfwDZjtrdW3qiuKU0G5gItnbr0RTKTA
bamOLtg8vHJf1MM5qp3gXWRdxfaHl6LF+IfToc926aEyR5zwUY4Z0UWvdg7SAr09VebRVrwTwlSs
Terg/oCBsyNPzleFh1Ne6OQ2jOK5CjjrOVbChOTxIWBBBXKjv2e8v2/UIO6WSBcejJADomNSRJmV
HvUU+suuoW/Uumjho3jgu5YPMQhb5hPDsCv6fqt1bu1BfWZPEcE4D6+iz3NxKYWejx4DjN3kxQMj
GXkYDGqBdSjinypl7BrLNjrxVS9pMDYMoJ28/FVEHESAdaR3Wfb2tmU7+pPdNjG9O5M9z8mvmBfF
QmKzD/z6pwRtunig6TH6GdSGzk5svmBSln8r0fAK9N2b1zPp063J7xoF4sJW6J4PHIaCLprWE5So
VdXLSzXrlPMTV/Qqr82zyawfbWb/oyOgzOe1TF+ThvFOE9AXQzu6wbcjuNFaS6jMGy11fa6B168k
qUz2UIjTrMyNbkp6H0HsVdvE0z9sI76qhMBtn5fjNnq4H/OIP0Y5xd2dguDInr5iEwyd3W2KaFcW
gH+0M+n7QLtkoHfw5ikGn3me3i3ahixKbA8SokfLI9rT/tt4re39gaWYe9E6r5hNfX/IXMu/OLFj
nqExreKVwT7orXAadfQKvuGtvDTfOgVTXcskOApQ3uu+TfwtYgx5RhRBdtt1+5eEb26GvflPwlTZ
lvEhV6o59vdYysFSD2H9ObEimlLLPCUZ6IM6CN2DLaDmd5VHvrNlVS+k+B0QFXqB4W9zGnCbpe8D
2DfrYXyaJq86Gl30NTIOekqjbN7UJUGF8HteVZIxLWsUVN/jK0+18hRMf33fGMeVECQ7gcpYSwh3
sCy7R+sgzcSLizpkmaIOOrSRxhhgmf/rb72a9x20uGmjCt3vzOrhwylHuYdnTFlAxr+mXqQvRf0U
4nH/qe0ofhrEQOYiy+7hkBhXwAfbOomemepMp1aED4p96N/zMkp+Wt+7iH6sDxpPUkjv8zkp5lMX
uj7jlHx6zhF1GJTMjqoghME1RxwHn0pUHKrmDcg/XQAZwzSdyYcpxcwhJM0GWADKb95zhXYJYSNh
y37Mrhq3rRwC+iVFeXEnepClYJM7ETVfa8CCG7a7JCrdtkJKLv8yagi2jW2SYLAHsedEzo8Eh43F
KFnwR5PBY4aT7tLsxnnTh9xlOVtPZ48D/7KuBqwirmHtQsvprnrmylujhP45sXvo+qB/4j/s76Qw
Vc3EQ9Z9ngwYV1j/qy6PTsS+uzVbTRaskfKuOYniIF92uo+OOubAK9v+L19OBoQxiFagoGJTyvzx
KrbEjZuuc+Naifhqco/ScMd1N1b52nmdXJk/N7Ghnjm/Yc4wigRLK+cjzH71ZphRTbsjg7Ju8l97
YfYvRGy54vpyurPasS6AXFd97mdnKhwuG8jpl/I66/z9wdAWyx46kMwv+GesyXaqCREfp/ORr1Vx
IK1nYdY8pH2f3+s2EsdIjjzTLK41ni+eZ+tHFxr2q/W7aPtLMIbxz8Sw4ytEkdfRC+tVgUGMflsy
XHvVDlcZzCcasFF4AHmTOQuY1FwsJo6oM8VX1sSluWkb1X4TDdAyASXOBGItt07tW+8UH1lI9nLM
avFKTgp7XfSj09xIMs+KN5XQ6py05dV3tHHlwkAIKNHMeOZMHa3YOLQ1X3mgKa/ebPU7R/sgFH39
zs3C2lMcE0dGdvFuHC25CUc6M6qYy3VIDpTBSe54I1fVxF+je25WFd052mbqZ8JUfMmy+6Nw7ORl
7m9el8g1xf9hPbf9l667p6mG1Ts6+B0gVRx0JVzgcfFLHDbmsZedAxTXmFe8J4LtYDv6H4XL/080
fZ7qr//4t48/Mi1XuMlU+rv7Vzqp7dgCJM7/mWh6xc/xP/wP/okzdS0nNOn7+y54xQeYZfhqu//4
NyNw/j2wfJtfheDGkP9BMWF5+qCWOta/h74LrZSWqfeAllJFbf8BNBXBv4uQRFTgCHB3PrPv/xeg
qfNfOq2ODzQGGhE4IgFC4b+19aPBiOlYue4eWDncSWe6RuHYLrRLbEvG7qfoJ3q1n4G2nnjCM/gL
CezoNnhrUDNtoADoZYfada0c7m1QkvnRyGG681Lirn8rKukurWGMDpUPPK5kVu6G6l5bHtYyHXBg
HaTNiojypWC6g64j3M/ZhavYg9piUY0w33NCB2u/JPfaPpfVtkCqvJOkLpZzax/Y+tr/l2K5/T98
Sh6cKpfPii28/4YUDPtARdYQOvvZ8PG02qlYknm4gGEm3USs3oOSimuvjtbjLC5mnOx4Wf0yYJRA
eZUrlBPzjoF0vuxD8tNZfArrR7wqQ7yRVzhCNDmuGLwXNrd6/y/fef8TZpMvHyXkfwFiOGCuIDk5
DyAKWERH/BcKR5TYRe31JGqiOHpj2iZI07BjGT2T02BYbafZQnbzWlL3XE41fojGJ0VE8O61yoyB
ozQAzDEuPIxXXGx9jvPeQDUNta9HipTLDUuAlpKrbD51XfsrYRvkxzEP4YQB9+wWR1EQJZTZvLXs
+Z5ajI3pm30xEW6J5nXHhonpg0J/nHT86tjzmQKnXiRj8Gbr+MXnAgx6H4XbDFRFM13MM3L6wS1O
KrqUdd8T5Mxf5lOhmesb9E8kWR8i1rO3NLheOzXhduILOdVqc3Y+VTI3C46VvyfyyU1A94b/3XJI
eLVYat3yPoRrpdEHdH8QK+OCJgXNMnXaxwUhO25Au8LxXpth5N+jJsGxN1t4xs+aw9NS28ZvdnLG
Ali+e00IMvg27gYThxKjWvrFcW8SXuC7ZUh0w/cyK3/Hey5t0nmKgMyy4zcxqrghWencHVn+jh+O
Tnsg7Z4RsQsn64NT0MgUgQWF8xEkeyvgIB813S11g6NjIiqeSYEgNGqPuQxY8WfvIDPWYUR/o1IO
vnFnQgUvCa47s9jgUEEuMttbojIfnLCCpedKczlTGuq1eoP6w9eSddiy6dFtNZXdL5xghc3vKMOZ
+W5X4pvMPFKMRSCuABAJuNgrEXGLJZd7z40f0IHyHfLOdchCAj/ggwY4HqTffUYMztyE7Gs3Oxsu
fB+GJ7n+dIO/ikxdbuZqZntMCxQT5LvULwrcPJPG8ifA3l+qaz+h868zp3/zAzI0umOgnaV3OyHL
bKXpVeWdyedRv3pN/T6TnnKYw3X+RBrVwI8Z9CvXiY4MOXnvm7AH03Q9VjYROcpeVWZv0wmHaa4e
IV6LxWFtSb5/+pw8UcD6Fc+cmTSbmUwj67PrpPttQmc/qdSWAjfh5WGPGfa3b99F+LDCyxfs5wVa
zvHDsNx10/eHnGYtYwl+VvD/VDNIdewQY1wBGZn8X8nEadZI+r0ry5rUKSwh03kNcv+5yNODY8wn
VHHmGg0L08wsNjkweksoAledVk+Z135UdvuOkR7ncrFx+Uki29b/6gIKnC1/nO9xMQ12rWWxXA0j
i/NfxgiczX/pPSM2I5pQfLZB8Jf10C9F/Ivz6IdBtGRpE5td+W1GnjS8pdp9y/h6WhlRswgcJFLp
TjWMHJqHsuHmu+5vyCL1onQ+nGlQW98iYFNGT5Bnz1lI+8oEG7Ew3KfCUevOIeBh2SGj94js6Sw1
40rri8YIeGxUS9zqihfWShuwJdBLPcxdrvnQEs1EkMQI66o1AX/61ROBvg2cW34PihA8NUDJ14W4
VpSHSS4s+J3vkx/c0jG/Z950CSlr1H5IzYUlEGyueO0XaKTCkEVbe5lS6C5eXDlLUdl71MP7TCUw
c1mFuPJklMmPkP3EEu/fC050knkRsKxoMG//+HNzpsjczjedjnfxnH0A+Vk9fr6ntspoxyU4e9N9
VERrkZnrx4BzJvCnm2piGTB+oTMiNckNd2GIet1Zt6i27o9fyEL/LWeg5Y3hp91FT7FXrNoB2lrK
hQhQx69gFACPjlG+91tSaVGj3+b9ZE7RonnYFutoWxUIjNMQRVBDJHfAgcuN0tsSpcS85SmJKstt
Nr2XPEeDa+1IF+1tm0dm0nnhsuVkbDnDlZjzvuysVxy3yGsetin/QvH2lXP+MU9dAmY8woKZXSZq
N79MV006nua0JGjNVAivDsPhhO1o2dYoIwNn0Xf+M/mdekE//GEwgTHBfWwJ9iVYulUa8f76KdJk
VxTWgFMFHaxwxLWo1c8oGW+eD2YmLv2fFpPpLG//kMNBLYl7j5s0YzUqbiV/gV+ThabU6vuXprB5
qp3wxDSSd2DAQD8Rv+yRqBuNoFVGvDQJMZkZDtWaUVYM0NgmQp41Ft6s/46CSU8a0qeQn545modR
ZXSUPO8UDgRH43RUjztEvbEn9xp3jreepNxXRf88GhU0QBNTBnW4FhHkwv1P9s5syVGsy9Kv0i9A
GvPQ1lYXEpp9niLCbzAPj3BmOMCBAzx9fxCR5Vlh/29l3deVZkFKckkuyRHss/da38qNdwaAA/Lv
OvRyeome5cBUBI2XReab0KIvbdJfWyxpF+MqerOYeDrbRdCgX5deyiTddJZOGU22HstmEEz2tSC7
Xk3+Y+bgjvBR8fm0ivsySMLXTKRvE7HvPUDlN4dCJJMoQDRTbiJ7ZGCeEu6Q0xGxfbNEjc6uuABO
AEero27F7jYQHFlUfkzAndzZSOgTXZKZmkYKoL0lbxO6skh1A3HtVikY5g4skK8/NeNAMkTPyG3Z
4VFJ4/IlubzXgWA6AQHtbv0z1UULm5G2FmlGu3LKDrERkPoCWraUNHZ95wnEWHw1RCdvLOgHld6d
biv+2Lb6MaeW3KAuOJiT+Zy0XXWwaQ1zcGm2TFSfFLrPPPbPphxumPTbiTi7+ExwlvJqOW5hf3sr
XHc+OOwS13tsqtcq6r/MPpKzui7djWZeKWk/Aj0KPZnLb8tHJyPCR5a/h3Kcr3HT/5g1vsRlon9F
ToErumJab3tfGDbihHHxU0qD2DbjKxYEsfdsltp28WOoMCsIqm2ZOoQLBs0F4e0dnNJXmxPidrax
rkfVswsIYzsUaKuBzr348RwqiymM25zQ3jxoprrNIAds0vxpSTxDtvsUJamzcQjFIdkxOGGL6HjU
Zo6d5/XdcXrc0hXdlAUqwOXXwmzdm3nw6Gfuzy4D/jEBmxE0GAfeIeqNncoBd0Q35L/cakHLC7dV
mKAfjsjklK2PKCgIirt++D4PpViagt2hBXqou0gWhSL1ukOyU07eSY6utR1UeW/VBMhyqAeWvWsq
8azAsiD+6M+Mso6jRnPUovO2QXNSEzqW0mNt0/OIR2prp1p21Fwqn6Ct98K1270/pzvs9fJSB+qu
ALm702p6ck1ldqEgQNBokxQbVhFC3RBXuV08GZJpZLaslHObfpvMDORJDMuaWR3mtHw2sZSQUIct
KQHwmTF1xU8Efk/2chvl+iM9j6pKq13kZCQkxnz9DXWiLumPQRX8TGNMhBVuaaYbfPC5UukVzAoz
ZD6CX0nQ8S6jlkTxXn+Ax8mJME7vm5K+aB5o2obcGJRXDCi3iOQ2RXca484P8Vtsu6i1QgHiLBwX
IasOp4uUNv3UeNoFb6kMpwEwZBXbZFEAWvXK5jEBvha2eMQRhyWXHufFAZlZD8YaaJQ7uzU9s6Q4
ynSJLbKmtMSUiGBTKpK6hmWj+6k4f15dLxkT0d+uYlS2/FBpeFi0qmrC9Ye/HmDdoTsZqYwIHvp8
ivXSpM8DqlPtrultca6VHoQIdJfIQaL4ZpwU/RJlNKQJBBZRZwys44lamR1m3ZjL71yfaL3KiOyu
yjLyCBcD4Di0uNbWi7kesb5AL4WR6tu4JFxVCaSoylFYJTIQxFAtTmWrEcHgeQ3AHMw5XhvYGxZw
8ZnTx6Nnx5s+IwnAJmO+Xp9+eZr10vorYsPnt63PXSwuSN82wO9EHJhijbE0bX3gvkZJevHYqKsU
xPBpQKCLQq/diMyosEbo+iUKaFhi6Z1vsmBZMVmOOFhad/RTe4a63Sa3LYaWW7ydxl6b0HE1TVfB
BmkMUoa77AaLQbFj6NaGIg4CvpXzoyJAaTtG0nzw4pgko6xn2EUXEMEm0asxUNLQdoGzGYTp3jt4
3Mmry5Hi2425nbxBbL3SsJAnotWtJ+26jnzC4KGLbbs802/zRNu5Q/1KPVKf7BgHTZq0L7LURqpE
kq8LGteoPa51ac13WrkIEctqlyCd2GuGcPa5we/HiBlfqcH5Rn/hfW7n/FSWVKldG2Em3RcduIW0
JMvT1oT9kBjZOZhw3jjOMj7rOD5UglOFLBGUdYlTvM6ckPwM4U0hhhYjNMdZNAnWronb+9K224tp
tN4OOdOjbZjjtZpZTIFh6Payr4yLS6sjcdv4FpY+a3Xge6zx7VMHxOJeBojoYr4ylBrV90FeQU8J
zoA56rDTyupSGVRiWRN3z0QOSmz8AdWlh1wpYlL+FSbRfR2hRoZwQFh0OsRPwAI+rIbjt+rElkg8
eQpUZJ2nQX1rciDknvLma3YRxqUmLl6l4vjomgM1pudflKt5F3BvyzBpkoLmSVF9pQvDck8E063t
Dnc5w8QDTfDvTi2nk6jt78XoJRdIDvludDvSJmWa3eChTG80Zhlkoo5tyKDkDEBietJczQjzhWbm
FOYD4GH/KUYrdtKGvsQJQh5908E9m1pri96X7uqQUbFWmW9eiWUz6PbdpBya0oGR75xZms+p597l
QpXHtB+vu0kTd0EQ3ajMKI74JLtLPKrnwivqM3V5NM/enR9WqEkfWsMKrtLCPSax2CQsTRiAkKmV
tY5xVsL+mmK344+YD3vEOP4pGQkkVW6M8SfgrKo3XyOqkZCTGKNxJwtOxVDvbIawN2SnLn464Mxu
gfHHse5iVJpHjZkLS6RCHgvGRBv1ZHQ0HmbbpbmfxLem6XWbuMBEOA4kD9pVheIy+iGHXDwYI0Y/
8hUOUwJIZzYcPjBj/oZ+Nj8CltJGvSYhMb9YpLpfHPbctnP3mm49l+lwThLHOnlqxPGfVF+i2cgf
vKoPjajtLijANg2Rj7Bc2SGG2dIo5+ILCpzcQ7BOzjAQLUX/nn6J746gVNBu1c4M88POnaM+s443
HOGEssM4ZGqJdonsixx8HKStiLdx3//MCpnc9qP/LUKMMARUMuPcHgRDPMw+kJoaDPSQPcO5n62T
kXRgJFBYltNMcbR4Yuc2fbXSeniAMoPdLj+3ZRUjVxc3kUUQXFrJigUII30AWlalXYQ/8e4ssrrt
+WXWC7BsWQmTEkgw3VJaL9IbaSggr5rkhaCe/gI3u2rvnbS8Sylp8GH49nhwpw79QG+R4DpW+gXg
9S31dLav28o/RaQa5n1wS0QojtgKtDkslpson81zW4D+1kszOKQyAIrqKo4yLZI0XY/Odu9Wz2Bt
vsrB0K/bL02rpU/92Ic5XY67KJEbc6RgLHXnQY8X22ZcQMAhWLZBgpp7VOeyZR7auyoPie0xd6MD
uqUb/R9xWU4ow7ADjQWua2fem0I64aKLEjHsItO1nyciuI+DM7A8ogM3FllwFHo/bFtZXbX5M5lm
SKqiRUuoovOiRJMwL2rRnOeiuyBn0u/pWW7gdAFaEEijWRU0QXD2ls16KU2vRMMpGYYA4+V2uThC
8qKjxtkx0c7xkB0VLtFjFohpF+n0krQWgd+20CC0TRZG3FITGgGVzUelGRPyes08Z/SLN4Ye9DtM
dMhHDSYh+COXiyj8LDoKDfG2zcmvlB7dmkVhhbM/wS2mLqG/mGFBymcc7yzgZZkRe+d4E/Q1O0y8
HhRpxPBuvWndTF0AAotWRy7RSG/slDjQAVfv74t5TZCjjitTLx39PC2b9ZKJ8Z91oFS/r8upwNGc
IbfMl7xTuyXYc71UsQ6nwreJ0nTH2GK9g2h3uUufxv62HjOXsTKFC1QgsgwzF/tv3eKUX26L1tLl
88cu5/5d3KE7GZE4Onng/eOx6xOsm88H/HFV17MS632bmds2Zg36+ZDGo56NK3xjfzzY8FHi/Lrj
r4vGwiV0ElAcn4/+x53WGxESDogn8Kr/+Q7+eEHrVfhRgiVwAqliedOowxc0Ixmsn7/gjxf1r57l
8y7GyDc3lfpeLNUiB0Lmt/ZY7KI6tVCLugT3dnWS7dYfN7bPx64C3mTWPqSxp5/cJV133awRuzRP
x9/XIbLK89iRDZlHRb3DQMjizS1LADwDuoJm0h5xqz25QVnDYWMP4Hv1HtDy2TkEy5C8pRmEfy67
AugTFvhRO9Z73yweAzmf0Rg3B80qk+lSdC1NAQYLtADwsgNueh2rGVKg+pGUtdqbydaNo+veFOeq
hA1JYcEJcoJNlCO/ITPHxepMne4Mz3Zepps2F49p6n3gub4NnCaMreCuNuI3t8a5SnD1DZ3Yj7YP
uyG9w4usb8Y+9ULhpnCd4q8DUtYNowICDazvbqeNS8MH/GGrvfUG73/24m02LyCR8R0PBeRrgUQg
YdyOPcznt8vp2qq1D8Qk+LiNx0rZz1munpJmwm9GRMw6QagQjJEQrt4tUuGBl5J0b4ovrf3TH+nk
Ov5wWyJsM8vToNMB0jGYLaztn/CmFsnexUtyhtTxwTTiV9CFKU2vrUAeaBr+BV1yRIG4uNtUKKn/
sh6mXk+KM4qgRy2vLmrErlKi0IQAVjn2ren0LynNsIRmetG8DJPzQBYzSDsboWSq/eh8W4ddld6a
zYiTcn7O62E84nhKNsDzrmTbHXGen8m/DQGd5WdBhDC6p+lBxO5wM0QfXo0wPW/gdSfoeqcIt3fn
WtcNSUFh6krqzsIi/QJDE86kBNsNq4GgeB4tH2kBGfD+BQoWAoEcB25AHyJoZoQaHJPIC6L8j7Xm
QTbPGI3Vh8nSlEFa7luvk6agiUQnrKQ3jaOOwRBcywryDH4PyvMb3c+e4B4gzKyDR28Ms+kaK9QW
d/t14ztHN53CQL4OCqlBrbR3FTRXYJrzQx3bLyJ7EWb2ZYySliZsbx18kV20vit3gUJgQxPhgWiV
KPRd8b22Sl4yERj4S+ODlVnedkL9sVeN65C1BeNDmajxF7RkGDFMWkZeqP4ZQhAYkmxsQSbTYmgA
YWPs7ZpCPl4WMm5dR6CWfrSaGrezibanO1oFwKpEqxg5IBIGiMIHiG+C/tPEWpCV+tkfgu30EGip
vhWz/4NQplvbs6G9I8rfRk3JzhjdmyDd8abkJCNTwfqWiwvLiZ7TGkeO3r2wKMP8QQFTDvztbB3z
LsbIu9TiDYsRHFPUzkhhi5/w8vMkf6yL4IOQqwYRpzgHeZGSjkCKNQ6a104nvMjuxhCtXLa16ahu
TRhNswdcKdNt8KX0780vddHSlCw9GkFFykSic/sNuduksiHSOOYCTxbzp9EmpUTMDWIXPrcAgOQU
6Kd+TCE/0DWd+QhEpTmEnb4Cbsj3UHxzyGUli5azcIyb5V+UARgpKF1pcFq7XC5Gc6d9YofnSOMm
7Fot9IO892HJ0LJrCroMmOvKTU3oIfCDBCqehQooQxOezMTqkiSQKtEzvXExV5nxTcmogLOZ51Eh
wOoiKQ3NSogAHQFgzJm7UBWN4m8d7Z4LeLSEFCpr4t22YwjZLGB8q3atn39dCL6E8rT40trmMSo8
mEV2cZt3M+0m7Ws5kno9gxLC0U7Dzn01a/TrzfJBGtnA/Mspb1itMNWKHlGBveL+fG/ph/DXMF79
Q9ziJ49KIPPz+FMyh2zBGKYE7Xmq8lHKxc/LQJppV7PpJM4wHzF9qyCZuyU+My+fhq0CRYlblpLe
yGdMA04Ja0llODvANFdlaW8Cubx9SeoANMlN02I5HQOUYU3EitlmPThagBNYn2w7R7+TmqZ2g9u8
m03SHTJzineNfuoYpCFzYhc0bWZ+9sfgsxpunIuDCGVcGvZy+UZW/akCZhWaPYQsRFSbJNCgFGeY
zev3dumn4/qGY0er8HLtB3gJhwCRmaXhOXWPiPfFKTKnd4LcUY5CUDCMlyGldYNF9ls0fowa9sW8
ssKubm+UwXhXo/WNpXPWaZ3q7gf6FRpugtEBHZmtLKpj4szVkZUTLikWM+Rk+4TgLWygvU0PFoqc
8y01mBpn+btVmMUOGSgdwUwgLIvV/dz67znHUKE5z16+gDP4NpiGeavBgdkRJvQmiSjd8P1ut7Lj
NRUwaCrNSrdR5d5medkThtYFG3+UId92Pn0XRy4VRNasfwr7icEajrmgLTlQTewQkY5dKtAefL6W
m1LgMZF4jmpEf4fRwoIrtWOh/Wzhm9A3YLLTOzhejRK2DSE4L3lxi7x1DqdZgbOOt5Axzeu+b8bN
CKWXZGmd2FZYExNmrx4F9cSBL6NIamCockiIj+vA/39UOf+NKsdAloGS5t+rci5vVffW/VOX8/sh
v3U5AbnAfoBQSvcRqQTmkrvyW5dj6OZfumOjAfGXcE57Ed/8rcvRCRrmP0Q5gbUEavIa/tbluH8R
beZTNCMa8Q2XhKb/+D/v4/+Of9a/hRu/8qE/r/+XvFRdXwj6/xBy6PwCixkXTAr6Fqb7Z0JoE0kf
7gMHTyOKTlZW6FfKRk/gSTWeZ3/e4q514WMLjMJ9M1wgIzdnzkBE26/p7tBNE5yATIg6Ny1O621r
ivx6CZDy75D59WqNkXKQrXNcr1XRaxrZAq3sXJ2NZdWzXrKWS23fY4Jpjp83f/5svQ1zFNPkzx9L
KrCDsPJLi+6QcHq/gZVvxzu0u7tSS78NZY2NnlkvpsvTvLRWcx1IsLXMI30g2vmmX5qu1Upwy+pk
NzPgP7aBTvB5qT9V8biUcCj7Ey25FGaK6Nx1PwbZNwyfh8S+aku6qH1rh/OyDFw3HX74zeQXX6gA
bMZNo5tDOpD+ScArWT5HL6r2mvS1A0s2FhoFxxN+nzj/cXUU1uvcxXgL5vHWK/DqOAliz2Lur4uO
RYfRRWfhkhq0OrTXDbSTikl8Sb1hQyCL8N15gUOwh5m153WjzdD8gA9w3dF7cSx4zzWGekAVIKc+
X8b6Wubl9a2X1g2vQ+47Xd0Hgk453Yh/btbbZN2Eo2LFXWVNdGwkq8J1sbLwGeqC1TmKkAILocYJ
l6nyzEpB87rzutEtFRp1NhxHCQiFtmu8Y96u7echeRyDdDzXyJ3PM8Y8ox3PLoPYM6u2CfHLOYpS
nDyNwJQ+WzSq55QqgySagx90V3qmICmV1l55Vn0cb2OQw3QqZngXnOKZGdN/smoGpPiNm02uz+cU
DqxRppT9c6CfbUrYTQ0seMdyxD4rw2GS2RjfA4hqmW/hS6qH3xuzL/Wj7g+/QuFh0/h7v0/wJC26
nziLyvO6idK/LwHwHE5G8RDN9hePlWPo8q1K5wThQGO4/gnWRxH0e/IL0mPlsWcGWY/8Bp4OMpkp
nKilaVNSWea1bYU0+zqokRnaBzP4CPD9LIkuBWCn2TiLX/dGVT2RMLrc0+5+jh2n5UXoYB2HzAau
qff3dh/Ze8PzkA8M5rvWWRO76FJWGR5sqkwq2hKGOmOenUIhKpR8AvQF0ya1SZaPw50Q5m7Ra9S/
PhmG0GIPF//hj/deKYPPI/KSg4xa8P/KANy0jDjaZbNeWr+bzkqQXC9GDKP1vsK5i0/KGvCcs+5q
B8K+tZKW/QxpQPrBVnUB4O+EhVbXYI6MJr3azYju6DBhm0EsRVuoT5ww6sUTsrOJXcxzUREPz4Xm
Toi7g2SfEI+Oxh9IF8tCMyqP3dLWQR8+n6nhOr1xT2ZVifPMKIP9d6BSx+Zobn1SMpadnGC7kQWD
v/Bpoylqdyx/DOJDkjZsBpZZHlCPllnB2bah8xYVRwq5XCUiFPZQGb+RpSHPuNnl2WwDTMBj/D2e
2EHrIZh3hXTTIx7OYw7kmmVsCsZp6JyDLEY0dlpztpYNS43fl9bbfGWQi+Rm7+u332+69tw0OUeD
GXwpJSOLp4S2axg5Or0C1MKbxkLFphv2sPNbVoS/XhK29WMzyHA9Bq03eQHjcRvFG3nHb0Y/Ksim
bHKfoArKO9JqZ2YpXX0E4RtSz4EJXfeFXxftxiPLxB3Qs5ecEPL6Naiw0eQW+Q95cDdNsXnqGW0i
ZwqUHUpnpoSDRHUml+AmERwhTL2fzjlIitTy7wJDmChblk92IY7a5kWlrDAmJ352zfu51HZpDTpP
lgldtYLojPX4ux7fqkS/YE/Nfh2X/cUPHpW08b02rY66IRieUlNqaD1UgvPDFuI6JbUNXQNtjTJK
8y0lwcRCo85xaKVx2I4ektSsJa3YVQc3SvuzprfQWpZLVmYQiqJJfKIB3eGaPwfL7Pac6Byb16uR
2f9oMMEAuxNiOy2/CrI8hz3P+jnlloEbrSwuKgHsDf2g5wvH2LU5jxnV5Wa9uG6gb/KYZeOZXbaL
lmZXG7N2G13JOngCxbkB64IM1a5PFtCrCw3z8jIZfXnpFRDfWgNtUErE4i5MvE2FguLMmiE7IbNn
AbkcUBAk4jplKWWVwVlHo3iO2Yv2dJoeqq4PG2nVu8b37yuFeH8uTGiaUvIRdPXJo1kVmMu5YL1t
coUZBoUO+1hxnO/IyDoYunPyKh0MSTPQmpd84w9RIG6rQnmn1C2uhxE3KbzrmcEewSJTxnQbzl6Y
dRPKEMuJdz72KN+EmBvZULe514UV83ChY71p4NkGYIlGEe0RZmlLIjt/n7LVf/+l1qsJhRARMSM9
ZGSFDPHxgT2M03Iktm8kQ7dj39ioMqW0inPQhUXDV2DdVHQ99paoXvqly5cuZQ+xq7831XLJF2V2
ckgBBr6v5fR5uK0K8JpUdKCKn+2IJwGS2hVTVI5fsCRzbPObrjUespqFwugNb2ay9IdpPYpi+JLG
9dvUUbxZitwRpfUgpyb9MDJDQA34WILBPRiAFsIOOUcaiV00qpfCSQxWwH1GaNCXKYcf4vTRFTQ6
RgWQPn3Yb+cce7ORoG9rneZLObhPeTTmtFI6XCTJ9B0P5a6jMUhghrGZyXmR4IUPJhMNlo5Eyoi0
3Tpp8FIa6ZVU84R33NqLyfpgFnZTT7Nz6iPGGYNfh9JI55c2YNwW28PemrNosXm8uEMKZbZ48eRY
3pAIU1oToEYam3DBgENAgb1BD3ClMyrap3Hy6tWyocET7Czqp90ASXOTVowevJn+7EhrgorxWGAq
2xce2LMa+mDd1ct54E3URLNozPFOskYwLpsdspFcmndN4gIxmkAmg2AoxW2UKqTkcjn7BJxa5gEl
RzSCikeav6dchSibD13oKZSZow2TzGQdKFI6duM8Gi8d5yR/0D9cu5w3yHPwllvufijAdbQ0baPZ
RbtHHtZmdH8YA/9PA/lkLGx+2Q/xIQb1IKvBCLOZIgNHiLsrEasQ6kMQQseXzohJMjlFGd7cIsaX
kurlKwqwr9OkjPshKZOtgJUx+sTRsoK8TONr49TJxXTaUzClimNaV4PK9G7xc1Yn0kb5eIPoza8x
KUpSHDwvowlaImSx7tySmWqOIBilRSH2mP7oYyCSHR1dMhhG3OzQexqz63Ghb0UUDvSNmMBPMn42
0Rxs2AlgWVSEJUg/O3FW3Vf2YBJE7mKlHJnWzF4KHbX6NtQapiqAaLwEWI+tQdaMU4Too4rQ1oZX
Qh3sfZDoL8oJYAi7D4oYoqNd+9/yqexZxNg3VRIQGnDN3HsBfOfgwkfcL73bhFUPylVM6FgtMH/G
HADGUddawCsdnvr4PnfTS+JK9Kb64GxaXNnoWpJn1PNbXMT6ca7g/2P5ugOqgsY3J3jKVtx9HKGc
OWn36vEPYBga+XbnCJTtc+Y9k3MkoC1nV9IpKEk7QUgK6l9LWfMRxPT9FCeoapfkhNakBeQEP7q4
5UBo07ixwfQc3CHSDzRJkKWq4xi5gPYJUnL6Xm2KEk69Riil9LCfix4TRo+HIDIcLA+0AfXIm8Ik
jphSQ2qHUqjK4RF7xQ9NA5XGdHejd/7eKrJdHKDGHKvvcQJMYVZ+T/NBQwDIH2Zjesl3Qj/oFQ/9
N0O3i++GdN8G9CCK5fLeN/qvbWCwhqL7vpVAfTH4e6ERELsuypNRU2gH5VieReOyZpqW5doADArS
O1BpPjkRRTApucPnZr3T59VqfWS9lJbrjX/8+P/ztjJtrwNNpOOUgEGiOlpHMNZyxjUIX2O1vKxy
1g3pNb8vrVchQ/z9Yzy57t6EEdtGFf7rmQplvSRdEHZQJ5jIuNdayZphvXndlMu9Pu/6edt6yXU7
qrd/++PPp8lq5/cvmx5pzpe/fvH65LrmxKcpATG5vKrPO/7jF3w+z0CwBeWi7easjv/zDdRUzgdo
PrhRBhKsRfMlW85x6VLG91GXhnkLwrJYV9vrjevm8z6ft9XTsrr/vP7HfZhLp7g95LfCReb9ebc/
ni9fFwx/PDZZXtLnbVUvoMT8uue/fGV9QBMw96vx953Whxa+Lve5yu4Fjs2ZeYd3Z8DQ2VcoQc9D
x9L+c+MuBdd6tZmmBpklwu10rbUGsbRRPn/+6/q//pn9n8+y3h+iernFcsla1g4janJeHdabFMmH
QdeYpXBRMUa7XS/OjCw2coT+AjeI2hCPJYNKLn1u0tj851W9gUTBwfT4eY/1UkXM1NbtRrXFaPrP
B6yP/1e38Y1hlvn59J/3IQDxXoh63uuaZZyTcmDTVj+xayAXEZp/+J8WJmcPOf03LUzahCY9v3/f
wrxZvID/K3zLa/n2z0bm7wf+3ch0/3JcC0s0RkLLcWz3n41M+y/ddv1ANx0fSLxOSObfjcxgaWS6
AT/GmYjzCJvY70am7fyF7VAnXk43fWvxJf4/NTI9679Gddp0WW2SRCyTV+ggfvwzb9eGtUZUnWde
IT1ammjrpgDoNXOong+p7pkHM0DPqS1NqyFfRKif19cbpR4j29Cwc3RL1wLdGaNBjphDubDX5mAp
ydsooi4GfY3omciWYm3peMuKtc1TWgSY0dcWxbpRCoXEMV06FDnrwaWch1TfVMfUYQWwXnfM6ALB
Mzn0cRmfGpjYyJ0eqmFxHiblS1H7mHYsBEAFZhxk5cKYz3nN4GgynFM03OYaqYVVRqeMhuVzF89P
pa76K6XKk6bwR+WpvnGnXOyxQxgEMPjkpdr+vSK1xI4SCqDZomskCFzEbhJG/PV2Y2QfpQG8CrdV
vaWiwzdXNe8LAZChnncnLPdr4+cPXRPfT7r8Ujig9EyngXxMXTD4c7xoOruDljK1d53oqsGFwYo1
+HDHsEQcTc2S1dzgg74W8jogCNgv1bUtHW2nzc6XBsMRZLcFgvHqCBwoOPjvK1yApBOSVK8/uLqG
NqJ/HQLyiYgJVyHoNwYnuAGXJ5RJ92V0krONi2cambs7JZVojlKVZIYAAmsqgsMyEN80NbM9VT2w
skXpVRvMYSAhZdZVIqtXEfOpjh5h0VAd4M0a8yVJ22/C95/Ih3g0mvbO77znIKF297GDxCo7BqV7
HRjQT/PMJLLt3sT5p3UtzY9hO4/iopYwhiRufrASHoGiVD+YpRFHVtHOJYTPrU7M396V6t59i7jT
spf7OD8kGY0rmFRRR/RRjAZeE3syHMcwIGcCJdipXaZMncHab6gAstZ282Fi+N2gf54PSc94KL4P
PPO2kMZPisoQ9+ZTOSjW6xXVLaLAD4RIW5QelwwrBJllctygVcOcwZvWSN4ICsD+E3mkO7dNXlNm
XNT7NcAGU1p7j5NwA/pUqeC7cApEwKq9rdCK6vgAg2WxZ7A/MEOtH40vuclHRYtn8V25e32ISHgI
9sv+JPT6WOs+/DBW04XeJVtzLu6YKpAkcZvPdjiU7lnz3FsTqBFEXrRr9P0OqsZ8BPXqx2yMNwU0
fPBO2W3v6/pBwhLd9g6PNMp7+KI9+sb8pTWiL1YV3Mjexc6iwxNMNYdClzpWE+YPKD53Wn/2JLkx
wMTnrfCzo2Ox9LP9BPOEZ+x9IZ4dBd2DZk2YlwSJDFhTkrZ4ZNw37x0SbAN69XS2mXQreuGmlZ61
QW2bxvWYNNh3lYdmAK7IjVM0xzLOv9BXBl6YH1urg/cwQZsx0+vWl08qVzl+aFK+KvZkF1cnvPji
heQqrMogI4HGFnUGoFFkx5bwENLXJHoH0Cs7tNfXztwQpJG72kY58T3w/wtxtUTfbh0+VL2Cuuvn
pkDKPH3wC76VqX2nJaxe8zb9bpcQr4dyF3Ut2KnsO5fTTafco69R6Y9LtOBJpEgDLABSaRM/gG/B
sqgG4Kb18n6Q//OHMqEBWXY+bk27bLakTIfEjotNXmW3neGTtdd8ZIxD4+AG79aTbPWHIIYIJw2+
00Nm3dE5B+1LFVF0966VvigaAVoX0bABIqo0hTC3Jh+1mh68/lBwlmD3yl4HCyQtsI+PzpfIZCXT
5Vgboazoj0HGzmw6VoPLRv3UnRu0JGDG/FvkEj8jY4RXUqgHaWGjJMbtyagtDKoT7vFgBgaVdO7O
nzmlJD1agGR4h4f4oIvhldEsvoa5urFN5vlSCwirVqHv2XcJFm1Qo2R59eWbNrbPNF1C6EfPzELO
nU0WLxFfjUFmxVDoDxEnAW+YPgyzelKqOdhp9jHG1SUDAqIh5Nz1MWcTieVrixzaSwOk9r3cwGxH
G06+XX2jNUjUTYTRJKY86zy96RPSpUcosnJLPxalu2sj0CzzNnh3M44VfXKX+c77PNnjbkyIrgRG
fR34xbRzKo5/87yEKcz2TTrYl5hpfJ6Bfk71n15knpeEZhT3Nu1J27uKkBTRIbp4kxHBsJlR0faX
UW93ePiJZXEEYkk8Rmbxlqi9rscPekRkQ0monHUa8/LOJjuUz0zjPCicXdsH5xSLpCmNQ1FU98VQ
/IzBlM9uR7bkML75Fmpof6zvBiwK6fLtGudmT/4pTpeEtCtn3g2KqVNEY5JILOK4JvoT0Ko7jMPo
QyBr0T+JiUbMiRfbUq/c+FX0PlQzBgRjSU6Zv0szfhnH9CH2py1JI7T2+sbCiYextvP0rxUjvb1j
0dzSfFh+DfklnjeczKa9GrX8bkooJ1S0dTwO8qTnhgktYN2ZH4yyR0fAnIvoYph3I8+b29d6Nfph
JrHWZe5RANtrHO/LOLbJdtnbA1OQuehHVhgzrohH81usUpTVnfW9tFqYVci70uwQlF/pYR+9afyJ
FmOnld51oaxn1u+P1Uh73xv7b5kXycPsq3OHOqxHiryptQ5ZNUtbDg0nGRyNzkefM9Y4qMwHlGYX
P2DsSBAw4wQyIVqXVIo22iI4JAP+iQ7qvhP5m61oSbopiq+ZHVHPrA2aoUun6T1CZMHxboEj17hg
6qoGnjrDRq0c9psBLHgbSQyyM6I2v2i+OqpsNjrmzK3Q2XMrxidXlBSEOuic3dhDLLs9EBJzXPhb
rm6fB5cX/H/ZO48tx5Guu76LxoIWELAx0ISeyfSuzAQrs7IK3gU8nl4bYP+dWfn13yXNNeGiJwgb
ce85+yBBfZJDdlK9VbLFUYV00TGenLcwEXvHrdJN3Guv0sL3Wdo3VAvlsU/MKwylzgpV6vemt3Xi
ZeK9V5v7LkEPrOuJvuuDKt1bMhfk4IlN2wrQElH+6JQc4oh4XkwrfsxHTjlKVT+JSCc/oXoyE11u
45J6Xw5tDC8EAZGFxuFgPhUdh2tYes9uQT3De4o6vMlgMr8kiRNu7VB9E156A4SpRGMW3zuZ/xP8
EnktkuGTG08bNX5xGu+CVqRPJFbE+aaHUJoNr2ZZkoES6Nel+UqmCxUnTGiyJIL3W3bdWZhRAgMp
iko5I2ZW/QgVkajMTP+iaUQXmB17AlKrXVfzEb3wvgA0dhj8wHTumnLFGZNW1UAlt0WcCEtqbsA9
kBb+w5a3ptS/U+F5gzHJ4VP3l0ntCZyT8dUYZhtRFE8wY4dVG+q3tUvET4zqB9QAPdsG57hOV4fw
eerYHg4IQuCs9NjqEeOjJPiWmskrzpcXwLTXoRnfNyK+NnCnEhYj13mmn8zaWDU1zbQJ8GQtEJo5
4fA85hJj51Q9IAv7nmvOqbCJ1jXS9GGmyhUG/7Ee/GJN5HoW97d9EXyxiwFZDTGBdmVy3o0J0Zly
MgmsR01QH9Ecawtzq97k0fDVjiefk1d56zOw5q9g6hgd1WygLa8kPo7CFj0wJ/BOBztN3nLDoI49
gVV1uWh54485f0kPYEMqN093Hk2KsSa5AFs2EUwrvJq7+Tivev8xql26iI1erlBLXukSk9CEl2Pt
dneFGZCAV3OCG0NayBohiJLIIg4dwPtJ578EVvjoeBPDlBxQhz3mXM7q4ktiFMEOgRihuvexVs0K
2/Bl8Pqvbti9jW3zU0wQBrXilURNhJE66yr043tAyogPWopHsJc6Sr8Hw2/vgWTvR7u/NJR/coQN
bihQ31vchIw71I5ghKRAc0uMB3n3X0Wcnfyq+hXCfFiNRvq9F97GNrxDMzCgh4Z4Z8BxXnuotsKG
BEI9768MPbmRRudSa3deG8ghfu62MzSQC96w5jpetLq3DnpFlJOTYVDRxH7UKy7/7QPl3lczJmdB
pN6eEy6gb9RfbkyXH91o39YuOo3hByecezMEeerfEfpJjaNH3kqjrAgTWmwIZd2kuiOOQ65NWahD
SE3Xjp8GK38ECMjlf+kSQhijzZhAl1yHusb+ElsnBgQ71do25K/hCEQE9kgrbqbQvSGJ80aUECfH
qj421cAkqHYAP2a7TrSX4C4fhIKapnXFocXV6enyhxWM97WZ2oBnK+xPxrNeYqcp40stdji/6Bxg
HqxtWnTU2hx23j6j9SOOHR67Q5M4b2NtYHnx9mpo56phdBnmnKEq+SwMaJ1F7ZHGGOn6WnetGzVX
vxrjOXHDrePZe5gBwwpXLZ2TDE7pY9yTM+qk86jWanFExVwAo9mWHF21NSTsyMTvTYDdwRw5RxHy
5q38b35vNEesRZhRQ8x6j+CdjU1O32VVj55/4WToPMEEEgryZFrhs4eAnRLbdcl6DcqZYJf+bIW+
N6ruMhfAXbqfUei/BVP/FdzRaxs6z4HFeFt6F8y/b63S/VUl5Z3vkczuRuV+CEt/Xc+ucknz07Dp
g+dHwxguVXQzGFwvA7/YewWxQ6m/N8wWGC6DhYE0VBLASRGIHETmcOQf6wq7akyqWJIzqZV6pZDi
pi9k4YFcDgeNGV/4LVQ3VkKiYlBymZdaeEnQ172Y8GXBXf5J3umuDR5trnvC2f7AkpxdDFbkHnJs
duGsFFlukqXMsNyNkYuv4AmREzC/nGXVPizZ17GcjNkhB9Ue+ARrt3PVdYmilMFNSIoDCNyu2sqy
fFs+lw4BCYMKMppsBA2j5cmlXo5EMd7aOBQ/PDeUot3H4ODgs7bYMOZf9uaiR9cZ5MoPI/lzulAv
/vzcctNzpLUqr7sNKagYwKveWXvYroEShl49R4Yg+pARJYVQD5CNl/pWLpVhB5nArknqhyVg00kI
eWm7YQeDdi7G9FFyJBFsBfaiuEhdjD2EzjSbJQ50+bcwjgXWzTrA8k/boJlVXcs9sGb82HJ3qf7b
IUneJjst6XH5hbQt1Ajacne+KTR4oLikKwPuEO3lZKJHwn9La82ath/uLp92F6lLNKteznentKNH
jjZj+b2hrpH21vOw7ss0iPOaO6+lSAPDYiPhWVbpslbwGpWbujGousyredkmy7pe7i3PnXeH5fFy
Y6YEN+AoPFSWxBnd3i+rAvYSG3ZZNe97w/IKjWRmnxJv2LIqloUUi52ZfATBaJtyBzjI12YgAbBO
w/P6tQgSmbaaZSJs9QkcJkmHcLtjYIa7HIrAphHjPSdYDE7zTQZJZT8F0y4IKor5OnOgQwBkzoFG
kRf/8cMflmG566Y4ygxBTNCyiOetF4VwdYi6EJthLuOHcxWtRTN0cCBZDPfpDLFZVtVAuQ/FyftR
Q8vfx3f76YA6r7wqvC4iIPFTvTsHvcZe+F1DwkVhn8NxueEQuRCul3ONY69aFqnQu9tM9d1uWRaE
hTepgyqt1O2OWMSMA70X2rlNtXzF8snl3vnj83d/ek62JSxhLjebZU8gjopaQkHO57zcYnDcw+yB
XP7hsvvMb3CqiTdYDIvLYDwse/DQIiwacxtMYUVPlLKU781H2n/7u2jyjn5I5IfMTRK35mPzfd+b
YkDPBZ0KQArqeN6T5rW/7EnLw/fnCtciorTaLzG5vosIM3TTW/ec+jsfisuH3o/WD7vo+e7y+kQZ
9CDnOsjS+Zs/h2re3mvPRMnvzls1xwW9JygbF9J/HeHL31s+sjy3PAzmvVDvyG4CerkPYSgur1nL
zr684/3zn3fB5fGyhZZ7588sj893P72+PPz03Hm3Pbcxl5dA8lM6Tq1jUEK3TcXBQKy71juHdKH5
jwhpY1gR9M1HsYuJRfNswErLFu8d4dIxvcmn5o5WO+VK71KkDAOhEzV9cpd75qFXLUp+jHLUGu/y
7FTUA55cKVBpFWjnD6YGBqTS2oM2+9aWm0IW6MsM5ejr5bFLaibqET0gbK0g3wx0pIF8jei4xKl4
ZXn/P9/NPR/GpycekrScjqnzOCJKP/XzDdoIrgLLY1/gn1svd1uh1CFSsE3MoScuxXbQHcxvDwIu
FMQD7wiBaREAcagsN3LeNd8fvj83LOra5eXz3eUlb9nt39//L6+/f3M0uMXBwv86XNqDmnbvH//w
dee7EGm4Dr7/yPmnPzzxvoDv3/JPz73/+vLq4Njfc195+J9qm0T7f/3TYr4uffr6SeXETUTN0/nr
3lfOp/d9WNT3ryH/AxufYC61vHv5eQSuiLH1b2E+a8oWhfeHu8Os8xbZKA+tT5rb3+2Xd8nwu6B4
6cssD+sh2bUInfY6Qb+Mn34XE4/Lk0GCZ7EeMHtTNOcysihLF7Xth8dJVuJ4zQMGoct5f1GULjdy
2TaLyFCqcgYmGXdLZ+YsJl3EpToXuK1dM6lZBKcdEiPGYriAljd6fRVfDOeeTrUMIZoEjZeVeFvm
y3SEAJ9BTFsaOsF8PdJb+PJR7hzcuc+aWoQNAQWiW7o81met6PJwlOo7sCRja8zKUTEftMs9RLP7
PpwUlcqIWB70gzscj8zM1awNjSEjbfJqqi88vaoRSPzXvU/PKaW7zEIxLdcVHaxFB7ncEMKpLs7P
xfqwT3CjAjA8a047S1r7sGIsOW/PRTW63FtUo+/PRRjw0BUa5CePcX6sVc3o17bxyg7T7JVdtvDy
2FHi2cd4t13aa0u3DawiK2TRjL9338YSeRqzayrG87hu0Qwv95Yt/ek5cx4/Mvf5cZZTnztwH6TV
XU5NbZb/LpvzXT+8bE5nuRQtd9v5IuYgXg7zpsILyJgl0vHhrZa7wLQC0uDnNnkSVT/xuYJymbco
oiI0vu9bdHkyzmlka4xVW222RE+wofYOZ3ktRqZpzdsW4jWQsOVxMCJlqbL0ySae6iLt8JafgM80
5L9+8wGfXZB38/Hmn56jAnPQotrYhwYizEX/vdxAaMDB7JrJ9v25sQoaRLJUl6XuW5tFSzxFr2Yg
yyM1SHvb191X2yBBnv4HvdFg2UTL3ZZTiC+CcGfUNfv6+5ZYNsz71gkVVDUN5fp6Odbeb9z55PT+
8HxQNk6xTcbk57IZlg30T5tq2T59IcpDQLlr2SilQ1hQmTn75Ug7b6LlyPPizl7nY09LJMQP0M0V
9dEdD4kPt3296Jzn0fmRQIOVySiUZkJS/vDpJGxRRdYXMMBw5HpOhwN+fny+KwO3W+sh8+dlFerz
ejyv7/ne8tCwOuaO2F+WoyWKhbetE+/LcoJcjhgM4qRILXfPx1KBc9opqJ+VHq1pJ/PgT83ooUVF
TvQbgRYpCMJQF8lhyGcWXUih+V1j7pMTuHWm8nnZlyoLIkMx37w/XO4tz9maRuOBAcSyp4Wz2UOb
zzb/X1rxfyOtYNzkYdr676UVl0Ub1dFL/puu4q9P/aWr8DzozNi8pGV6luvYDnTmvwxieMd0ywOW
LKShG7xi/62rMM3/hWpC6NLxGPRJxGJ/6yoEXygt6kCwx+BBm/L/TVeh8/sf/WGGYdA/B9Rvw5W2
XHvWkpQ/Xu6jPKj/9/8w/mc0qr4FlKuOuY12NQoJdPfU+FhNyQ6wa4QR39G2eZjI/Thneg0ZBILU
A+3abUCZTldU3Xeji6JYOsmlZ9jjPid6rmntO8Lfnkhm3tAoJC/A8rQtOJx60zSet/fLylyRanfM
DE62VoNSu0CELdQ3ohKyXa1Et45KDZ6swpqpvtC6C6tk76q6W9VZsyqLr6kTTbs8NkGytMYx7jSo
CTYKSM13LyfZt4hurTWC6xqrPf5kryV8Li8kqDcWospeqtRqDyDfHlVVN+jk+a+FTuIVGSuo9A2B
qtaGkQspx8i19mfjdpinA4xUYQToE6V1WhL2GsOkRT2RvpQZX6DKEcH8mO3GShbrcaiGk+Gh3Cgu
Sun1N2qssReAvx6kiT2h6w+xM8AT+BYaqtxIlzgAK6Zn7REWzjQIM3E2O6d7wwxI8sLDbTmYTqmR
rvNI4K3QPOpApE94ATQhKk3fx8Q2z9bQ3yyFv1kI/3MHsSwkRjgZAYYL00b983EHiUdPdUVXlsfS
lI86ZQvSCrhJvTpf2w5G8mBssWGn7Y1OvuPKSvXVFBGRuqzMD0fXX/bGj8vyCUrNvorH0tRNy8JU
6Rr6Jyi10IiyDZIES6E2E0vL/JtJxJg6FFp7G4jsSZP5z8hK/7QGPlko5591TcrFnuHZ0kA39fsa
IOvYmGqiRI61FpE2gKmEHdtHBRPODqyGFNtRiyPaTtQvqbjhaa77fO/3XEI4vo9VMT3/+3qYPaqf
DlokfTO+3eGARejAmeO3baKLus9yUnyscAaG5Zq1rinzYZJr9kNBep/WKvojVupgkU5OfZ4yekkT
Jv0EhOAiF9TR5c9uoAYPrtLYy4Le1/xVjg/XyxQCPGD88O8Lbc4L9cGJuqxG28LNZkGdhy/2aesF
HAFI8mMWWjLriurx0MSgo5pOg2QTUyHWXZsQ9b765hiQzquA4zDyEeHCxS+2SrxVzkgasmzAVmnF
HR2zFXXPp9SHzDaQCFrgaMIvBOw5fqXEBu5Q1AmZIBWR79r4Ktsa7sW8IkT0Nmg4HH27oJIdinvh
VTTdU/n4h3887xif/jEFaf6pa+rSMqxP/5i2VoqBXY8AGPRHU0utlaqijCjeJwh9CNmkt5W5BdBE
WPGFYU3M0DXDRykE+gnWJTM8NESq67IdAAi028reRa25iQaaTmKQj13lROvYv279hHJkyUlAlm25
yVP/RZYgmu22Si6w5em73G5fqoIsY6Uppvj45CrfXUeBtbU6/0/Hy+9KPZsNbeu657qW7kpu3U/H
C8B9F+m9GR9JqXwsZNuzyqcb5aevWjurEn7lJKvmwtC2Qz3WtD9ttVVbF23bTtZQczErg55x1pmB
eP8Pm+Sflo3lE8KzPRqfgkyGj0eOoihqNoo2RjUedJW40K6Kr4WnuCSQG1NqTAsnDV3CfDkQnU7v
o7SgYDo1swbgWX0HlGw+zFtgHYjgrWlMtvTi4HVzVWm7CqpTg+bdmNQv29KRF4jHSY4Xdn7yPPu2
Cgx1ALNK5RGbxsZLs9sa+sRGC+iBG2V2Qf7Pdxq+ztW//23jP09hiDMdw5CG40iXXvnvfzsJYmQE
ThkfJwf5hZ3Gt1Y9ybXuNMD5p+gur8yNlRNe2Jgn6fNgGhW4ySq8jzOLrkNEx+MPi/TpumJR7NEt
YiMIpmfoQR/u90VC2YVNMZTRMaQfgRxsutFDh9j5DN5H6lrHkOL2IegI3JIQzRpXXUduDw0mM/60
JPNh+OEwXZbENkBQW56rW7bxaX+NswaRlcZh2oCJti2624N2zNKAjIC479HWoGUaw+BiQgkRlPoG
rHp5wLc8XIw9fUqzcZ+oqfnbsJ2cnS3sbUGf7t/Xljnvl/+xjBABpMOVj7PJvDY/DNNaByyUUwyc
Smr7WjaGxD2bbCzSkjTh1d+ROk2Bnp3cCDt2Gb5SyIcK3Qv9GtDdNQPKt4ScMeDKb4kt44fBcNZQ
lFBfedmt0NJgA4CJ7AVp5UifMjxzQntq27BaF6Oor9KB0Z6HsFFzyz+u/U+XhXntG9Ljmm44rphl
xL//s240mH/bhIDqFkarCnNWWHXjKfI8wvNq5tQmWsWclgU1jIphRdrSsTXH7IKQJQ0nSn/R5wc3
ibU/HDP2p9HGvGCCq6zjmB7kBN37tIN20JoK0qEilF2oSZuRUMu4iLnWj4+2jhVnQIC/jpLpHrmO
Ma9AKCrc7qAIDxjEGYRSsKLvD5908EkwJx+vKE33SLPYOADZ2025sXbcPr1Bd1dBsXWCDVZfYwVB
7UCUafuI9snAcBNrL5SVj7bZ1et0bN6GxCrBHQIO9i2UwCQZ9oWd3bVVEZKzSHe2KRJtXQmaeUR/
q8vQa958pFqnpG2vc5GQ3NGxHZvkUNll8+LRAKBpxareFg38Xsl0tJWB3GvJFG+IE8NZOVcoydvV
7v59t3b/4SRgszNLSQIJl/HPdAqGq34/uZp2sBh+HPoO2FCVhfS0+eNpazu3QB/vfOn4a5rE+a6q
vHQ3ZVW5cwyqcEZAZp1KzZVMBoyjOOPtMItvR0+HXlyUR1XkPwvTqnbAx0hwlfWB4xkNgVQgEhlm
rnpQ60TTWQEkZh+Rql7egHy1vpX+ows1jJnTJc27dKcm+TUOEHrhyALXlIPSGDuzuJhqi2GHwPRC
k5Sx03x+GE49rpmy7X/1SDo2dm/P1kZsHI4u9VVfwcfmWH4Ja6K+034klZj5gonENoC3T//erHC8
hA1dXhUezKo5GB5yyxLr+aZP5Xc70MRdXhCwg0cHSFCxgxceX1jTgLsUAsS/byDj0/WSg8DD+2ZC
JLEZqzqfN5Auc8gbKWtJixo683lNYEOuH8oBkvxojPvYbuiiUTqqIF+DZUIxlSbEQHjFXWjD/QWh
TbBrka7NxIJHXNfN9g9L+GmQtSwh13HGG8Lj9vOkINIQevpaHZ3HwlXfPWQ+5eRC59rueaxxDjM8
euOu96nhpYrxT1AV38eIYbKLw3lVlJR7JxfB88QE7A9LR73g03nb0wnVgzSH7siT3qez2+jVVJ6H
mL1MEaYaRboEk9p/T0n33PkCaCrAs/GkWc14yjMiguz4kE1Iy88XPXCpm39fIPM8o//9UkK4j+7q
0mYqxaJ9GpWmCjVBV9EcHwApbQDIJvfZwLDL8I55l2tfeWlH0z2/JHUz3GflT5mK8sUsvhlxryNp
N9UPxNcMVcPs0E9eeLKKnwxn2hO5lmRj+U4K35mUy4yYiD4kvdnmtLhOO46KzkCL2KXPQUuhtSOg
rkuG4Fa5EVMqjuojm/IqHuq3goLZFbKC8lA30y1Z9RznAVxRlzW5CwPYmZPszL2DhlnFYXg52Kib
koIQPhkzCralg+XcvUVtARFXspyd2oy15f3QwQDAO7AUcX/I0g9VHgAy56uIja53toV0nTC0e+lM
3rEIufgD9qU452fRRRn7PUqXadiHXf2LzQ0WN+7MnRi9N1OVULSBZWElwfDo6djXwqk76ES1icyz
T0UQYc4I0RAK7xsrO7wy854ET8vfuTQDNkGTYLxiAs1FzjMI623srZ8G/TPphLu2rq2jzNVmzsxE
IyRKdeKC+l1z++nORG5puZQk7An/bdaH9kU6Vy4oQkd7mo/fXANVdJSiXOujjPFs5ucXExnfWW7Z
jPVw7Ulwj4nmXE2DN5wyD9FQxdX3QAoiV6w2xfof+uG+UL7zlcyfBIO3CrsRCr/4RaKFuG/T+MWd
xp460Kghq7SA/jrzNcTx9k5PljRKT/s6MzR5RU7nse4b/zqdTcwoVqZ1PPRsSci1QsbiYPpZuVGh
32xJVqE4iq2NjDwtvC1FVm1MKz/4wjJwqrZi3wiO6ilvAf5YkElMzdc3YeE+B4bubMYyv677AfOw
Y8brSh9qus3ON6/BdzzXyi/GSLYbp0eBZuFgpouekHsC8oEMY0Xu1KAemTZnO4e0Qj6JG9fQsGz6
WBPJSCTd11H9W4//dR9oBJ17dqkYQY8ByLPyhuLFlTVrVCK3xv2TZAc59k/WVGG9mI9pZ2o3CJrR
QzGZ2nYCrhlxWydL1pSF+trZqNrdC0tdAZUNrxLituF60kxzcm1jGE2yDmwaylTKB7iM1p0wu2bn
5gPj1BYPzFS02iYeCG6A3B9cDFl1O7XzTzgueF4yc0lMPIUd08ZGbM+DbpX7c3g3uX8GbgfPwWCQ
5CiR3VAQOUIcma+Az2oTlTdlM0Z0yUtTrjnsXT/xADGlX3wjd7d1DTaRjProNk0bcNc1ly/Tey66
KrpThuav2iQ1dj7KCkw0o/Fs+hyQoSAjIRieRU332apn6R4DJlKMQpSiXSB2hVPvyZn2L1ukgghy
nV1qArpIhocuH50rxkBlnPkHqdnT3hmsG6k5wZWe/eh0rAOT5YM4TGRA3CELHdXyxkjRBocFkuPa
NRiCMUveJeYUks8YVBs56yTKYV+ZYUB+7Q8nMxDvVcZV0kHNtWKyrpWFb12Lc/tSzwsyggiL3EdT
92hl4hAWcXzZDaa1xfeIEUZHk1fDHM4d/bIzhivf6ZutQL19p0GCNuY/XqiMxLTOQ0MPnPTZK0lJ
I4/1KTHEJeNH7RBmubrxBAuXBJH/JWymZ23S5YpwVmIyvapFiUieuYjsfQaN/rl0Y7o1RdidOpNZ
LlfDKESEz2G1K2s7v3RMkHNulFhfchE4G9OM89MoAnONQlz/VvlWQwaOc1vLydozdWc9edQnDKs+
RIlTbw1D9MDmvR9FbyL/CshY1mJisyj63Cs6LQ+OhupSjbE4GXb8vUwb6AUcrgwlr0cXhxHaze1Q
TV8txamnwoNPKA+lCf9n1lE1YNb4JoqqRhlvtkez1rqbCL4fEmZ51yWzOcMdyKJq8KrTEz4QB4O4
cLQqDsuD7YaPWT+oGx0uwsaKzJz5OFTvhLRL/4ZNmR4hxry6crApUBrlMW05D3VaZ15TJvlqMJDJ
7AbWUhiFV1mentJI7Ke0urNDjsFCmdoGE+XAub6GpB3XdJJ6BJARxBDVv+SF9Qw9KL9KYI5skKBU
u9Ki0UrYG9L88Xr51qF247UeeYQGD73a6uijd5bx3RoU56rehlSR6uTPIHPtcr28Ip7waJoZPBwT
fa9wMM0LSduZHVrvcPd7Rk+Ebnia4ljdQSYsQHabF5PhG3uwEQ9kIse7NDCrdYagnyyFGLho4dyX
ozJuQsrhLkmya7oU6UVPeCttLqUT81LohwCqBPyofqv1KcNvB1xm6qQnnM2z40od/AJASptX41Vf
KJj7qGMTs/uati9NRvFmEcIA5rweCHeHZMAGjsiI6zObsDqVqh3nix6ReoyyHaNQoezL3HHiyz7M
FMO1Xux8EwMMxE+ualwEq6wwH8JfDCONkybH7azGPMZase3zzLusuwO5tcinKrKQ2WOPaSi+TtI1
LkNXL9ZJeKG7M9gjYwhoSq7RsLQappFtQ8oKVB3vUYbMHrBIXmQaQnMLRvwG56sNCMtr5ymou+1K
ABVm1qqTjqrbiZS29UOBxRE0Kl4KIJV9gndMTt5TMkhYsmF+Ja0QVhxFrjZG2Eq8C4k2/ngi1V3t
tQ7LToJFs4tth3lMuy6cYLhJrVzuJayQrPtVN3p8S2DUnHMWbuuMHsqYhNUmxR9Uuh10/BruczZM
8RrLwNFKSWZ06eGs6KaEOy/DgGHofXmUsXr2ov57r30ZMkjkKKgpEY/ryvPth2RueHAeJ5aBzItI
MjK0lf+E0FQZyOJd91CbvFcElnEpsi2SkoeopczIIVdz0Y1geQAEp60zgaEp907SvIBlIWHHfR7G
7Eaj/r1i5kfZCX2Glla70QPBO2CjGWuUvP0EMaj2EepO/h10+Yskg1vkgDdd+1B4MXgGu7Ypr00X
D5Ri7LRTBnJ4y35gSL0RkdNftjmA/4jgwrGbcCm16Su8+bx9LQPlrjuKMWNtfgtckLoD/lLPSh4V
pRHC69qvbQ8iuOMycETQGqy6BjedTSd/XRO4stZ8hm0C6KBeRhuYM/skmjA4TXHF6S3HIpe0/pau
gH3AAR0RRrXVB8wtnd5tyi99R6RGRXVjU6ZcmvHIE9fxVbRNtk2CNtpYJpFgBqFB68HNyGquxrcS
nRTlW/gvVvkc95iCbIjjW1+Ld5rHcMLHLjomxRY+wbcoNHdVAv02RYsQRzbndz8tIVYV61CQiixn
fXKvfbUamtfO+MLcHqoyedRhzXQ7HSDoCySoSZJu2lyQ72TWTyETOIYV7pb37bqOCPIgLF8Nxzy5
Dg7bkYscBZjwqssp2cXOPjZBn9UVEcMqljPJ6KQKGneoQlfxgKeTvOIJQquGbcl1M5TmbsVqbxOQ
VJl/2/sSnW8Tr+Mm7TfJZODgovK/4up1Ywb7AYX4CA1/YOLUhu5lOheDZCleora8AreerpukgFuU
/sAaeJLB5ejMUMQRIaShgx9m5HYNar3hcq0Iq/Nf4ZTdO272UDrqAHD/qaHeAHGHIgcRKIDN8msF
O3mF2eQgA058krLMykdIzaw9/pE0Ar3UbBZpn8KmiFbUEg1CKxOmJpo8OjOX7HtdZPld5slDyKlg
4yQFp765Gqh3gmzxMnwoFV7d0bfhjJisXrsaNCCw6juDo9kFYCeQAeWTE+lcOo18vygv3+WUWNfG
dZTlDFUW0eRC3vhbCL48t6iq/9JazgKYqPe7bePZL8tXOQsyY3mjPIs2/1Z6jpUezWeh0/Lq+Y1w
ygjUGPTL88OzDnT+5eVX+oQssHUV+v7BgMbVFj0h7VXGptDmi+rf3yyaUmDTmz/319eO9Yz+QgD8
vsgflun8pg/fEkjxkE9oYYsF37kshm7D7I6DOFi//9Cn5fvwlZ/e80kz/XnVnL9nXv4Af6WsKUaN
wVVgM13HPJwd7brubugKH7oYdUDvDi+S1FbGqu1+0PDqlF44XWgKtyrhtNEaAedIq7TREHxaKUFL
XX9regzw46z/moXtLkyily7JccFSBq1LG+hKsyMqwNyAdnjum8FhV2+9rU5mHE7soNkaQ/cFb4W8
mqMbKr33jwhocy5tFkS/rMpWeVLWOEa7W31KILH5WnZUfghlrcwvC3rvjlteOl6WYek6Do6XwBlm
CsYEJNwCoTRWjtB/1aEM7mP9VfWw8UQChTBXFpRDaQ0774hVlgHJML0AALlLhpAoqG5t6FCqnKhY
I1TXN6bH2TROh6vUjvsjoXzjSvX6KVbmnRrnPgSAS0JPL5uQaPsIAELRTSQ/jClTKa9pcfMplM/O
o8++cqUTXQdOqNjWVhei5r5tRUtMWJhvcnOW9ZQuDXLzEKCJuQ+2ihnbOijwzpFO4tLtYqXVvkZ3
sx0Zqaa32IQx6sx2MveH17UCiAS2nxqXp9MfHXadlSveUsZswmRtNJhZgSORHAuflZZbc4VwAnOW
AIg95K26ojDBuKfzN0WmXUN4ljead6yAHlDXeNGNbl/gjwwSD1Z0zTwonD2rbvMUm753GcpsFyE0
x3U0fisNeWvTTdqr2KCSm2m7rm9aYKtqRkvGAL+a5K4k53HlBtKF/jTeWiknVAukVyiKXedAt85t
TPWkb26V+UXMQdFOx0CkchPyhnLK6WZcXypm1DcegRJBde3qfnRpjQDHDfZ6eAVetfcza7ggb2Qz
TCPIP1ceBSfQHSEs/hqzz1OCHhTHhxYdpqyYMZp0chyLgNp0XBnUHuBwevtclWu4Zuo441HNkE7m
CN3dzeGdZS3XQERs3cojRRawGMJph+yQlTYaUPUEOH97CqJDaURvyUBAUqabb/4Yh/thJNgP4JSH
UTBZGx1LjM5k2gjkuquxLW/5a/VVNgPj6Ctfa7FOQcP9WacIXDQfKIKIWmMd23Z7aIkCSfttXsIF
9Mk7XJlVhdxrOOWSHcurgpgohDdLr/UjHwpX0OjI4mmL7Vg437uu6uERv8bTg5qm9FBNpCpFZn1F
IHLZRWo7BQ2XUzG9wFuxodf1N2nuPyaB9UYXyVIuHGN3PCa2dkEYEAuZpf6hcz1CLSy0eiT50ND1
8QCCpyXENSm+Dm3Orm9GHmNmx6dqVN2YsYBdrrcrOs3JpW8U21DREdBtpG0REC6CCAksswpjG0+v
nk7pLDfg5CNiUCLJd2jRvoi6zggIopBEm+6xrpO7uT0wtj2UelKIdmZUPyZ1cGnbr8D8faqm2q2a
0LWEWRCuXZOg3nQkTEvX8VZFQXej0npcpyLDMamXxqGqUDu3LicNC/y5YQNhcSM0IwIkw9Ysm68G
ZszGNYZ9a05vegxuLBsfRNnvo1+tHxh4lJ2LrpU16njjFztgv+6HlDFEbD0bbr/zGefv/cbKti0S
xZ00yalqgA76pmAHRIqCwG6dmxT4mSZjhBtRtuYiJRvolTHGQBzoqUiti8lJtXXUyM0wN58Doe5l
jqadEwbIRMCBSfQsddzOAoVvrfsxIVPGFRS0fUcQlLAkVVTS6+0xetQijWBfjZqqW/n/h7IzW24c
ybLtr/QPoC5mB8za6oEEZ1Ki5gi9wEIKCfPsjunre4GZ1tWZ127fbrMqWYZESRQJuB8/Z++1NeY5
drFrfzsJXM3Kowh1aLSUqVmttcISG1X0zyltC6tJvwvNe8AEyoVGkCq2fHuTPHZF02zzpuMemfKH
IisuhL3gpor2ljB+k95hbjopzyT+vvkT5P80Qg2ghuKZlOpwlxYpgY8DPXA/lC7IZBT8QsthemA3
LCxkxzbNBENuXINfkxEvfEWxFl00/S7RMXnXHdMJa/gVIptA+YslclITo+s5ek0z+8tspnDbLa2n
eXaPabkYknJTPFoEwgprrY9DswEfY5077oC41T66lPVhED+0llAbVPjVpZegGx3nVRgKzeX7pOsN
TImwZ/EjP73TrnqTNDvPgLqdkYlCGd6sIW9jvwxbtdNK7zWOxuTU6MVPl0Kvkbq5NRX+gi6kXTaM
JFPPAx5WojU67tAM9wlvTko8POCB2B84zxbMSat03OsptMhcEkyuwl+xjRs4s2S/V3l1SZTzrmjg
bn0JW3ISO5qiP3pDkl7tm1/uyGMVMJK54pCYhAQd12lD/U1f2Eu4MmPfmTaeWTYrBHn1vjC3bsl5
w0smrOcK10svjjJsyPoI4yqgzG9gkKyyJJvOQzgPKwPn8obE9kfTpafRkDvaqa3matbKYvXkqJoo
WuztIU9N49QSXwfYtzOPspLPNQFDK0/B51C1028st9d3iU3Fz1Z11DvSdNNk4jzYAtNOSxFoep/v
HRl9h2I+IFQRO0oRluWByfYMixT8ig1JYfGELh2qwQ6LrV+xceqkF41psa+i/lCXwFtAHrBwurly
g5Js+cDJEtTGWFtKc4RZkYzXJaSiLHuawlYybCudbh7L90CClNaQuyUi60h8ODrtsdq3ri83ToEf
NQNe3C83KXzKfMNvnMK02DFvTei3kd3lRQAsYpIaVFqulaFR00xmstGNyNkUDh0QmhUtY5hVyZju
3ERfgEUBu7fC26RmnWzoCRETVGJwNOopEOPTvIB86IvnTQw01jDw3zCgfYuy6E3Z0qVJ0FEcGc1J
Gxmjl1A4YeGsmzbfOaE/A2xh1YF9fuIm+u1UkcdcJCOlEdIt6GXzThuKeBNGUN7G3vwRGcnWO0Zz
Ye857dCo6+r3ohtHfND1XUJY412zEIGgImOc8YctjIry4DbWFoyNrPv0GHBwcwOv0MXJN2/WfH8/
6dPjGO5Qz2mbrm13btr2HGdiNol3kzPCqtgkNVLxAmM2oAhGQtLvg9ZSNaRL+xXD1uNUda9NzDgb
LuqbIit1q833yg6hCJjyoseUJHYhL0j4TsTZXaEi8QoMYjWQCOhy+68ZuN+lDuFqjtOQBbT0O7vu
LVQuoKRJBDbY2jUriR40nMe4Rgxs3yC4nA7RmjDKnuDAczXKZ+YE6drT/CKg7/84G1fZEhVsGyie
GukT+DWBqUl5OqoW+1lrz+gD7U0/9pRc/ryU4s1dqNfxBZPIozJ6ep8V/Ugm7wYZKdJ/giojj2WS
Kuyli1mqTNwIzAPdlD8+qXrG6y3iIFNUDJZyMosKTavZYmvrJTKZUalI01ZdR9ZaMQxAqOcKSI+9
mOx8DvN7NxYbeGP68fYB+9yI/I7SKQW+cPvghnMVxMKCq6+gE4vlQ3fzmEBw70oNmIdSP1D6EcpS
CvM4QDyHSAwYXw5dQrLnCwBp5gRaPv9EnQtkW4m9scC067FFgWZV53AxIdw+aIsn4fZfbFcwbWkI
rW+fI9DFGbHHwFJrj3IR3hPty0PlwBDVGCK5q4CU2YvLIaItdRxuf+G//m2pQgRTBOQeIIKFc02l
4aqvpUXnB98FHNSKl3kBCFqDxDUivejNzMi0pyU0pXV4uP3O0orR8//r12PPRgUU+vu0cAeMvB3E
Fr+c262atSegbRBPfjJoBrC9fP32oBEC8GYksXI1WyELtOw0b418o1i5uCjdmvNHJPR6kxuQqL0y
Js7QphvR9tO00nChriyC+8oGqGuZcDGWkDLW0x+6/UVury8fMlwyx/nOW/6o4uYKmuH1J3WYHHyg
qzvaQfs/vric38WsMygcP2bPqpmBLcYiiGE4UmTBX8Kw++HmOr19ACLhBSNtq5WJj4LBFeadIk0D
1L53qVugQa1lGlDFkYUe4f4Zlw+ZtjBDGZfLfYu9opCTCZKaanvQPPNnRpjqwUuyPVpu5ygyuBtu
o22skutXymKrpkwebx/oZweGEpTKA/z2KQ89OhogvW9fvP1Xvvyz9WomKdKPUWMz9Iy1iU186a2J
fnztcsjDqJkjY+ngmDEcYPVSuRbGyFn+ZI/7yQr4SdA5AihENH1OmoXAI1lmAvKW/h1VfHruh4fc
I3pWf7VzzFz0Nejy6q8z51qINebVHK03wzRenR54toQpAKvtMUz67YRNn9a5OlATf1URdfN75Kgf
TcE4FNsJ7omyvIdI9IAC87XrAXqE2svoUoHA29Z7n99tNDLQmg9h278QXz6QwMhhs9ZHws+Rinnl
SaPJv/YGWuamCVjdkgjYKc1mBlqM+gpKRlal6liJ6ZzFM4e65VP/+tDRj2LooOJDieX99vlcNEQC
ppzZl6/97aFJvphGbj/y9mVdSbFpR/vtb4/r/cXMdPvk7XFz53hbvbEvVVYwFSoLPNuTla8ZNXwT
Cnexc9QujZ/8CBnikYQ0rYt60l4EFcBKFL489i04Ju1UpCEpdNDVN/C2LmNYuGvmgg9a592HLaGW
bW5iTCMtYIh4Q4oBSnIfPtrWMglzNJB3sEEtAicdiy91HqONPgE5N8paPHHLGfq36it5X5OoW44D
CYrtxWDxOLviaA8QqL0sDia/Tx+tokqp6CluoA2lR1IeTmNXjHcE/s3rdundgbNijlHLjwaZ565C
8tmYxZ5GgomZunnm2C+o6bA0OzbLHcmRJhrloEjKeeMq48lIm3Fvq4iiO2Qv9qgxJrbrneXeWa2/
H+Omu45zvms6HfNQaB5aJxYBFOR2l3rjPubIQqmI4jpGZL6jE8lZXxrfQozco/YUdBmTpNRKfwCL
pUUDfECw50/Dmw467Siq7JeR5HJLss9nl3sX4XYPssmvrox+2w5RtXqsBVF0hkHUvwwQkHRYFAeM
W+tBp/idup0kPvHAcfalaGH1zBWDOqOYfoMBeW1MK9riFp7WXSXuuDteEj9Gb2BEMHUsb+vJ+CPt
hh+s9vyJ5HNbYFyYyz7b/ngVDiIn5v1zTvBgkXGfyaHe9hXp5LGY1Q7J15f2m3PWQHqK+2y40bBB
hCoCvBPPOE7k0bEnIjkBM63dSHzX1RDuuvkSlh2ytdY6MsckYAtdcBvikp+fbA4rBQHjO6N4s1z7
U5RQa0DgpGvmatNm0UJLprGj4PlYYbJoqepkrRgiqT6sd0lbXGn1UuVyOLdifGHmXnXqXI5ztXU0
2HsaDEdbT67wat+FFV+HqL+miAEI+QB9YpMjEYakrZN8SOs6CxwNWhPOypnfnbmnqXbvZwLo0KF0
WxOkPg2k8TkyGAKXbfxbs+DzWI12KrF1zp66jMX4084oV2NruGaVeGhdehXSedSH/i3Oewhf8QWI
5T6lZ++ktb9Kp+LdE0tcYF+vLNLfuGKrc1WWv3j3cf/b0YObx5/UWoA0yvhgTtmZhV5nrvTb7aoz
QcJfo2F/KUbyLNC/xhxBW+cMzE7UdS4LMI6yWzKTzLMopo+i875rhOY1QgIfvyl3p3G1ut9oYD56
w303n6XqUto7LJRzU31OusurH3+NXkbzLHQAlYwkyhfWz2xeWgEmM4uuf518c+RMlCIW8CJuUUmH
AqQfAvefXJfJJtVJVaLgvpsi/VV6bhyk6ITpw+vbZvk56EVainr4+NNICLbXAqfC9dAxTaR1Uqyd
sAM8FQ6LDJBkQWzvPhhEZrf4BXJzPluCHN6KJ551eh3o9vCcNrLeAYRj1N+cYiV/ylwvGf2/JV6W
bRTbakH66RoqtX8iB3CdtfVKas59PFrNzihN2qAELI9oyI1y8IMBTKXVA/NHYJBOKtv1bXN2RwYb
HK7v48g8klFbL7Yhu3lpafK6kXOWE70rsaxZpkMyeBgf9JisQmZStNbsz0FHhmOmTTB5BpSjSFH7
6urZ69LHoRtWDZ3XsWZ8ogjwKDVavzh5WK24AFODApY/bK+1pMgk/aITPqRD96As7Vfoe4+8wsAG
Sdyd+iuYo/VU1BttcgMVh0dNyXuVhccqcvZkI3BgMAmRGl5pMFlC/0b8XCqfCYHIHqtqeurl/FYv
VFHfyI99UpzbnAGIxtvTw+h0DRpYRvKJMCTLrQcrw6IipP+Bm6BbJ72KiUO1tl2io6hxerIpk25X
WhUq1w4pya8ILd3K78P3edD7DZkoBWwE4rquTnhLc0JQw7xSWR+0Jk6zg0XJDutPKcc3m75OCjyY
U8ZXrZChtW7I7EoAnJDda5y4L0wtaKIpOshJPnwRbsWeaXgPehLtVINnNxzXnLLu9EK7pMb86RFt
MRKl4zEpRBC3CcmqoWgoX7WW3bby68+F4I+lOGTjaZtt74XGtqOxvyaUe2Xb3Q+GSfZ6SL16j1UB
m1ffo2szdaqHcTqYZv8bniHYXjVf4TZIkGCFThgqLM+x/IYtGLG59g9RG3JToiaY0gZgZvw8d59a
gu1IZS1Xi5Qng3CUFZN7+kfFU9EaGMcaRG2YoBVWBkrgov81RSK5JH77FpUwXN1O9+8juqkrZskf
BkOBPe6nZJMUVXGIWUtsjUEEwoQi0HC6BbPG65mGBmAzgxbobFrnaqbPqoupCfpYv/MXGb1eh0dy
ye+80bWfmunJ6jOUehXyCgM1nhPKlDmFu+GvRPeztJeUcD9DippTM3e8xANeERUOu1lFOLk5iJG0
kQAps4gfCWvk65XL+RJUtcH4ufvOjGEPUbW5JkQSoy8ya7hQPH5ukVaVqpDHRMJlGr0aXKnhP4de
Xj/JNKOFYnf9jnIz2fhK0YCWWXIqnemhYZ539m0pzm7SmFu8JYASic84w7kF4GeYF9/MP6JezOcQ
H8VhZCY2+KI5q+WDVyWkYhi8vXj3XHKeKEKmMT9VIy1yvZ7LU2JxQMyypbOEWvLY5ooUhRY2eF4Y
e/pn926Keu72wVMzxSzshsbxd5kjpmPSWWiCaOtH7uBQWrOJGrZa0lk6+mNsJXe3D8aEck/zUZrb
89VjcO+u/GFxJSL6XBnSP4d5iFbEHZfUpiLe96h+zaayzyOb4boOVUt40QgMSnX6E7Vq/yQOdazP
Tx7AHwwcjnlyVQWhTDL96gn1eZbGWGxxRVAlpqm5w8SN+BoINMDJl0hV4nr7hwsPeGssM3wozUCD
nYH0UW6vwDZRdGddBxAQw/0qc6lmah2soi95eVyztM9xX351tkx2ltm653zGWWW0yd5lQrd2m27G
3Y34R4TWnS9GZHMqxFudYYsg8TZe22KwN/Ngyp1pctyTUCRXQ08AxeRrDNcLyU/rGQzPEA66Safn
Iv270dsNVk2+gqkHZir3E5v6fZY2RmD3RoUMrx/X7uDyM3dhkhhnUpPQ+ZkZYkZTq3mTRw1nnuLI
EM+HeVL6HnTAQfOxGMWUE3lqpCc1gl5s3X3qN49yhuiYJcY2XnyWmOgYYszaZWwdFXgxtburUN4h
j5EBtxm50TLca5CyuUibCcHoRjbsTEnHN1tgH11esl3t0ojXavqKXSe9YOhRXyAewERpA5xEUNlZ
HbWiOBIVdQWJejBo/FFBaR3upVdP5+xxM/QSy5ysdRjAw8zJb7AU/jw20I0NYs6AY3fAfnCJxkZc
4nTMd7Ns7+vZPs9dUW5H0f7Meu23bw82WtJipaJF3lKRh9wVvBDodTi6htkpLzEfUwQSajyywszq
w56mu7kvn6pyYRP7Y7giwseD88BBsGLbLDG1JELbOG2UbLxiilZ5b39n4dDuJd08JE7jnUjD0/L/
2WH3TcVA2rPfvMWIxBhrxu2Qn7zQfK6nZLr3Bo3TJ+u/BS+WaJCfWl49Vp22ArUaImTJUHhNICMS
yhSb2VlAIgwLZWUTxevRg5kAm9lSQan2oo887RDUWhOtgamaL2nymZeOf2DsRgPVJQp8bqd6Z5fI
MBOoTktk/SUrG07ELZbsyKcJ1mZHGq9gEK1ULr1mUotDnRmZ+4ZLJr1Cu/3RhJQfsVL7MuLANg/p
2U9J4+4Lm9wftVimfeDilEyuIas9EBYYcqOM99bIyTotCPEB37c1AVMeLTfnrtRz+WgZ5j61f4eZ
H1ODo7geGa2ewjS+KtKFDyEzaRkZDei9Ep9SbJy6FNZt5UUIsHIw0wU9wuUa1zfKojU8+1lzmiQE
3JINYxq9Q6zq9qBjvkodm2FPPz/kRn6Nm8Ldlz6sJOYdybl0am2VjeKe/fBFH+uf3EL6IV4w0R7p
uAexxNtVdPJMs3o1mULtXCU/yjQlytBJHlEVL26T8Tyl9sVViccpmPqiK4fXNmtXM5zScGLmMbo0
Z92o5mfB7nNTJiTz/N70raKt6Jw7HfuAXXOiMhX3N1PkECtleuT6Sujl1Vennddkp2H+ETXu89I+
qBkpTQTnvrfxjzsnr9bWDqJlphLOW44iwnLAOtKXxdBd2h/GbGjbMvPooTOR2CRjHYS+/LhZ42+v
WEE0+yZL7mOMSSF8NLi4tbMHZjusak+cOl7aoGyrLqhsSsTcqKFWUlmhMMf9iUKEPjBNCs9Oz53v
PPQKpvXNA3wz++mDdE4uF/g6dEBMCQLO9w6K/rvafrw9qiXnnk4BnlYwBYi9S2qQPu5QQMWNz5tO
gosjESKY3k4Mrr/DhkFVkHp38EygwzX2qrHL9CJ05iYNUXyk2RtrH3HcpfI7EFqsZrFstjdrph5p
ZCIWz5z1mZnN8Z7ZyykzMopN3DRV9hEPkb43XJrB3WxsMif5KG1ErEhaYBcvXnujt7fDwAC3LJAw
hdwBUOs5d86y3MUbVod4XSwoAQzgmDSR6Wm2g2fh3aoHbN7IRjfVtIS7MuD0SsxzkfiZ04xbc8J8
Tm1+ZG7V/TpqwkNu8YqjizoWGK1WHQ5Y5aKZTfJnuxn51RlWY3ome7vuryRFAsLv+PY4ZPodtqSq
+SHw1uWRgvCpP5bUzGkKQh3Cn2kfPkdyYqVjhoR8jdOuAnc9+Nq31ZNkXzQlAbwzE5oMA3WLNQSd
FZBKjd6V+Zv1dLGwZVejphdnDqW1Mjx+R9aQWBAjhRhMwtnT/pw41i9hsB5BFLurYipqHYBpZLLO
x8yPkTNyLzj32mDzJpkOTOl1OPGsvE57HnM85XU6/ZSKs5hbM/XREt5sG/5jPEEPpbUW610XLK8M
w0gQrR7FXTdqCZRJIuE1AncRF1pF7gXKiD9u+8nciEMelYcpvfam8xnXHB1qn2+5te+I6OFAGH+M
1JJj2f+IZ947o9I0nJoldmhEKAlv352Z3tuGVe7cGnx0CiR+32Ig6JQct0XMIdczKee9fNBe3FiO
x8Gw942u382d213aRslLxcy9YGZ6EFk5HpYa2M2H5poDMWU1t3+qaLCvPWWkPpothr98o1lmf83k
MuGZA2ZtZTAMY7ovlfuTTK/8dPug9eo9jrUIzA9IdJLJz1qkdHIaJ+TVBoeQUzmLt3ggsBDZiHmZ
Rj3ZhzNOcNbRR4bt/W429cfake6WtcQ5WSo8IUahHhq7oOaIv1DQ34l4MNdNZzzExBoEctI2g8sm
uVxU+kJ0iJX9QxMME1O5vH60147OhDNtiYu1aYLyV55H/8CwxyfiktPsKMHq9hwnpbeHu+3vaPK7
K7QIDO4aPcgHvT1MELLpNyG7NVRvrQ2SvzTFu0dh0K98yoRhOamZrRltOgYwsmL0x40YHSo9+QH0
h9JH4GagfnxwsvpOjBGWMuDYuHu6QqA2bROupUG7q6hkkDhQNOVu9kTUSIkM5wuHHaRcMt/YDUf8
XmiHeG71tK7aZgOy9FXWXssxiHIpQt1Tds1rS2W8bkbWoNtCRHulAq5g+au6YzsOc83hZv+Yy+U0
qgRn/yS5lw13v2Auweye4hbW/5hwuAVIVAim/nTW+o0o7gsdZMlAtshehxJBpYhexLRRdCQT9Z7P
aqy6/s3QMFzDnKf+9el/czw0JPEqOZmxBhn2Vc+menudXPeHNqBNsw088yaOodsTrmdyTyKqLX2I
XmYKwYDSlb0eBooBuiphiL6NuQQQphhf0xSPAfdkoFU2biyFWMIbQorWkUYmrjo6CtyrCZD2VVSm
9AxYsEyDpSZD7iNlr6h6GDrENTNTcSBvVQRJHR9bEX8s5n/Z5R9FydWEkBaxt6EF5rTYzr3+KTLk
68RlhUcJksqfl6DeMvRO8XxHtno2gj5jxcom1sdy25bNHfl67I/eITHiH7joQXTD/11DhaAs4UGV
FLupcDj6hq2/prf2pWNgp1vmBXrLkh/eEWXMmuwOF1rXZLKCg1knKD+dCJEJ+oButbS91x5WF6N4
5Bx/p0UYBIWBYG5Zr/pu2yOKQLPP+txNHPgyHm63lHwYRGhVmumH302XW0sdGwk5lZzikUmQsuOm
U6DZ7lksfUqW9nkb1gvlgkiEWqhLwiKz0ooPaagGGzF/Ta0Xm7m0mfXP+yLs4sChfb7SlvfxjzVR
DUfNyIatP6QfwM0IELAwy+Sk45q9dcpTBBTO4K/zkbvdm+45k8R3DVMocpzV9Nb3cYNbBEJ4LqLp
rcBzqA8wzitLfSU0dPYNWY5Xr9K/xvEp8ivznUYFiudyns+J7S6JKXO7jjCrB6DTPytdz49VUx2g
56uLNfaHoufw5xu2eempcYp8RmdNksvOd33ukxBCSol8E20/l3MN8mAFO5gfOORB0nYN893ywykN
AB459+NyhbSG+pT+9EIk6gWmwN1QgQMJ256gTPZdvbUP9L455CgSDGgoB8Ny9Th6wyJFlagvK8Ho
Z2yzLCpWrlncUtxxduS9z8QKC+CunMuyt2U95D5BdSA2dZx8xCJ8ruCCl7P9Q07x7zx39/EAIxwv
GyhPDzr0RAs/c8VTQ3ltDXQIrWTp7OeUu/ZyEzUjv6iraOzNzmKFJEs0quFtovghmomyA98tIM6J
5pvOiuznbRLkYn/bsEPOtrp5wjQHkzoi+RIPOiFGp/5ktt5HrXuHzPZxB5qH2EiwZ0mwZ0DZoecA
6lHO8+gxJ7eLNX7m0i+mFcGJK3fCzDKXbL5ez6VtM0hh80s/XMzU4Ov9/XLvmmkHG5OnM2re8yhZ
7lqdAFBNk3dk6rBULeXEaIVbu8Gt7FX3Yc3NoIO5bzta3U5k31Xo8MiT4XFtj0s7daf7xtOeVE+g
SD9if6OKqGf/zly8wdPMRmAJ7JvSZ5GL8VqN4q7JuPxvIKrb7RKl/gqDxEVDO01vkfc3woSgVJqu
nZplKUQcj2Hj1V0+zf0Ay7y1IFSzq1T4awPid5vK8NfTZBOiQprsbIuWBUwPvxN7hv7L5/UJqRWl
qxfkPVIhJENt2PBO2kxMp4s9hIpAB37X8tiOBQ480qqK4Mnfjju10AEsW9xJKrngiFq69Gw6cdkt
UQjEhZq0Q0qNaYnLYlsrLgoPT1NOqsCKamk5eOUfZmERN+ZhH1s4WWlS7nNBRzGMFoEdyb2cndJp
MxUnx4NPFS9n+0KbL1nlfDo1J5WwYH+OaUGLmCSsXNPdDZXPa+9Damw53HH1EwaAZeBmzfVkyADd
XDqFY7kJs2jVdBzFi5wSgTy4QAA/YriDIUMbrKfGdJIV8jaXXbxd2hXgazWOAsu2ycVR4Umfd1g0
tM3c4D7LcG2UzXvFO7dJM/+lw1hjJNpD0gFQSgqfqamtODJC3gqJjwT6nvCHdt2TPahXuZyyyAY6
yd6acFCwTXs64/J4IM4Gl38O5hCQKShI290pIplWbkZZ2+DiwIDU7iMk/mgsZyQls0/LeLkehxsf
qeptnu33be3GS0ejwUDBPlb7XpYTdSNv2WhZT15Tp3disr/y4gOM2fiDMag+iTMuOoT4OZpenMwH
K0umY2O0Ge5nAN2OSOs1sobsPqX3sM7TmiYMmGKMRz4z8Mp7YpyzLgfY1/yILUZh5EG47wzuoIOd
5pvBH18yQr0Cv80Q4UwdI35dJmuah0OApGejD0Z40WZWLFNMz56FJoqbH7dGz2il8ed933VXg+d4
IgXmVzw57cEm02vbTvcdHa8Z3ZKXhq9+abSHGlsOOhx3R+Qw+rUangbMCCNJMqymfruVlmKPjSiA
MDdUay8uyTNu5BXsEaYW8qMfDQvlTcXyjZGmR9RnqvTScYJfWzTxSk0vryOnxccZAadCT/IH0uf/
/IVQ1v3z3/n3Z4UtjTRn+bd//vO5Kvjfvy/f85+P+et3/POSfHLWrb7lf/uo3Vd196v46v7+oL/8
ZH77n88u+CV//eUfmxtX8EF9tdPjV8fJ//Ysoq9qeeT/9Iv/9vU/oROawAOhNfy/6YSXX+2U/yp/
/yX08Y9v+hNOKBwIhELobC+2rhPeAlvhTzih8P+BQh+hubOkOhom1JY/Mx8t/x8MjwxwaNARXTZw
4GR/Zj5a4h8L68qAcyhsoQvd+t9lPv6dnYDBDriZBxfD903374SgUldAkuJs3tezGgLV065UNjBU
obPlcrqsRkZSyIWc9U0w1o90q/JMeCuvoQc0ub9x/p/pxqORJB3rv7yU1z9wCf8VRWf8DcHGi6OT
UenR1ebPhGf2N4qCzP1YcgdCZO8U5HgMr1ZPoJwjCWWVjNzsoqW+FTu76GmWMVmqXcq3//5JLO/C
X+kSvDoLlM+2Hdc2TPNvdAnpdHrfOPG4nyRpz3o/ISKvEbhPNS8KdQthfasisu7QZHx9pByGNw4O
25X2pmc8xZxMO9s3nir2XDrZ4Njxv1N35u+5fLc1QjToxFByxl7+/8FimI7zfz91A9jPAv7BXMob
/HegkQIu2U9CUkcKGlvqrReEypuWtc9DEsnSkYGOVyQn9j09iECfBXqz6t35Z6LzV0otvw4ji/vt
tZ6zHltZ2q5MF+0uv2+fOdTkhIy89Ib+PJpxe0xgOqz78CcvkoVyTJ7EEnwG5+IBoeOwr3t2tRHE
ZKRTgBfKxPDYeMk+gRm5mvcGChh8lhjIdSudVlOVIgTPM7aj+pEphQmJx8i2LhmGYZwOm0locu1H
JJHpMypgOJRldhlxBIR6wQoe4l0zeloPFF1rnDBE5Dkkrqv6KYq0qzZGNQo4HkOOG+9M2W0weHgY
ts191vLHo8GiD53X76KGDA/7IhB9gdCbNpyccZA5/nB04QzQUFxeyeXRLaN5N73WPrErclYJWR9o
PDLM/OvORuVjZNGpFtbG0HSfesL1Nlb+IypFso9j9tI8tKmSzOjbJ6vqQGQ4jSfPiXdmqN7pefyo
PCq+ZrnAQ1KtVnlSkovjU9j6af0+oLNeFRkWwvoz1+0ssFIvw/kR+avYuefbQQDYDHwb2s0BwoP1
OKO2c9HFwd96RXrTgFHQ9mT4cVdV1lmkYCa7ub42WOVWGmX2ysOLWPoY1UMfk2f3joHEir172wYo
1XTTDmWKvgy7KBIZymcSB0JXo9oWGrF3GjmcNs3HKQRvcrtLF82ZRq2LW+racDtQ5D83NsMpTwxv
nZu+o664qxHlaX723lJoWygYCAei17cckJsYaYygpF3cUqgY9vQhuSfb6DT0LuBDDA6jlb6NTvZ+
+0ph8Db1w7AdHftpanjPfVUQk5bX6y6bzU2GA5kcwpb5ntauyqF7sfVuCGhgv5LXjPAlzLd92e8z
m9wNLyvXtCPmrai5rZs5/hZ1dB7T/AWSJAYbhzG7QocKaowhTptsM48sb5PCSMh7el/4QtBurFsY
RCs0nXehwYXIOXs1GC52K5s6JS/1A8iAkVKKgXtPe/v2F0SJiFZVOVG5cTwmhxUZRutwY/bJlRym
LJgZwiDt3tvtcLbSATdska81g8zsiLeuytw1w96dUbMstRpUmgFLf0h7QosFEaGDCkLwpyXlCIV0
fe04VW1A7wS+E176hJ8weXYZ2FmzUdVyYfQiwn5qY2KJCs5nbZUHzjDTRJ1guulmuR7j/n5OfJjS
I4+PNgCpm50pnHobNh7jEW267+f8NXUM52gO1odJZCdas4kxTFG9tK27ZuX4ihRt25qKGlXF8FpO
TreuNQd3woy6UK/qTQrDhWM1Vy85WwMK0uJFFgMeA0g8m6Kc9i0aKPCDPm+ph/LgtoxXOgeDjh7y
FkYMTleEPuBUmPkwiVnxNos4Gla3xY9cX9TyoXkfaa8QBz+VA7Emt71z21D7tsZaSFJGfPWqltaC
l6Kiur03teL6qPz8fcImEhAXVVkpKjazXngW+OmS5agVsU3ELpMDozYuumF/tAVbBBYvc+Nx7yjA
7izV3M7pfS8GuU4l26+dcWvf3hElWZiHId7Qg/5yxvixHVkjJjS3ns2zHvO0WCd7z8Abny9upzKc
0X0zch1zfno8ZLuiIFCx5D2qzPT7Vr8L6XIdS16UuioYE7bBWL3MQ/zbpkM/D9k7iqsaLSS/iCqF
O3o8OgqPTMPFvsv15LXzGlxTbC+3y4S9wcS6GD3OZpfgtOLW6JkHGf6vdIjpaEQ/bpfIPLCa5Xr0
3VV0wNGd0kiLtp7ByVkkj/HAMxR1SY+1zbaDkX2bJOsFdcfmodJxJOgm4xY38nvHoZ3YJ86mixgP
jEulYLkoboiZrXyYXj0dCXMkT4mW3bJXaMUU/AdhZ9bUNrPt/U+kKkmt8dbzBJhgIPhGFUjQPLRm
6dOfXyv7vE/V3vXuc5GEGLBlWepea/2n1jC/QgFQMsekwqtrH5ccFgIrK3kPvE9PH/lmi6BhsN6b
jHSHdgyOy4UZTGzecZh+oy/W4e4V2wk/ml05N5+4HVawceuN7LuX5SoSPsuKFc6/RJQ+1bW3dZFN
wu7n45TqAm9SWkZrzi8TM0AGAJDOHDSdMBLwhaq5thEl5CCW5d1UgUV49e7q3vko+OhwFbCxoFD3
eQ0bOXeMlT4VJ4BNj2Pge1WuchMIq4tcH2OljIlt3AQn5ENezlI8Z8wWfM6p1qon6mUFF//NUa88
lVWKscxTLoh0Zltd9YCfaorT63wqdq4SmBiyKN1qgy6O3bBSG4ffy12bzcxKQ/adBBDEQM9gWAW9
W5L8Jjybi7iSrw3nNvBEvXY7sugIeKP6MBEisPU5EV5FyHSZ9zf6mqnZZtmxcTFON51P+FfU7BrY
r4wqYgYUudhhRvPa8+6BgvP7UgdoI9f9qLNN8pkgfDNZ7wu4b4r35DKyEuN7K9lUklRwwzfpd1p1
H5XlXnMb+LBsLxOK+8RgdZmT9LsYb0T5wEaTwR0tCmuiW6nS+dKXI1YZFmuy7+zzEMi8q1jIzDk/
FjrBSVQtG3XOoAj8QrqoImQVa3abSgalmcYuNOsU0pLEvhK3e79b/+u24JzGpokzt+zVhJz9dClB
jBgFuKT981nHqobLovWQSmDwv3WTJ/SrewePa1APj1htqZhjb5h2jdzQyCMfBc4BcQUPEItZCtnR
tte9Lw8WZMCFsFDXXEiKy1EyMgzs9KGGLii13zQlPXcntwreRukeV85zhUcmbcP4HmaMSghvgoQT
8d7SirNTl9XdD1ntpOAXzUdYknD9o5n1jHPRdHq6qXIY76URJMQfwJTMqa+EzXA+GU/RiMZyuWVN
BDRhYktk2oo9F/Jkljv9Dj10meSdYXNAK7KmELPX0F/++FaaK6umA1o0IIBAlbprfYb9bxoErYWW
9lYO2bfrsbXaPtdPGWvwrfxv+o2dXfnRhqyQ41SYP9uaENg5X+lu+NxEDQwXvZ5IfWWRHq1ml7cZ
nrZ4HgtCGNk2wkPUTcfGZFUmRdLZpHq5ayd0RjnnM41YQPuJUJIkJdnSIYrLzLlgiib/arruhymZ
SsuY21y4nNfEfmcI5/VifjS7j0att0li4NtZumtr7KZ9N7ylHYCQ7L8Dski3syWB8EdkIB5rUmS2
Ty2FHsTO6NtTr5/30J9g/Dv6gKmFk1+7OrsnSXGttM9sjOXaDPynMln20RKWgwrAZcxmOek960AL
i5J9SKtxcEkiCH+lbm7zDr5DjH+XNeq7EAOjVSNynUEGJWJaKtCN1ae3yk2jbfISmtIsf5HuuOWm
BJnmTl/qOeIkr0sZFJsfGZOX9bIYJ4Z3W2qQZRFPGjZXI9GfA4GSt0sN6p60vpshYe18lF3XvPp1
zg5ncIuIwrtVeXwdi+aeVHQ15r53R5xyXgUKnnCmzPBDdudc2VgETfq11L6ug11XQFwd3K0zjEGM
p7C7ObAeVOgIs2+94rpXBXfWpB8+7Q1sM0pIRw9OcRd/x0Z6RzHJeunkz3g8QT9s1qV1Mqb6ii5l
V3YT+59Hp42arcLapCWYlRJ1Vsv/nOLFKwG42I+oNrwa3qHxAVpCa1H3h6ix72nORmpNzkvmk1WV
cK77OLuDuEEyqdeCuB2rMdZgDLcuBvotBGtki9PzZN+X3XHGZ4gGrntELXCSlOA0FCT/JfbVsrJ7
jHPCqnTn3xQoyPe4mrM8uJGCSzHIex+H6OJD1wYs4BPNmd6FRDJ6ZfK9zN4RczOGTXHe4A0Zagvw
sQ5h8kERIC8189dRFf9hbP8yiz9dzCKBSdK5yMxruq+09M9y7TN9i/dxEPuMdvmJDAsXamUCE6li
iq55yWX94BZqf0lnipb4p6oXyB28ZR5NN8jRKhEOJFp1brxhfsC6ckRg1X+W7T2FSrFePuY5emb2
BzcvwQ8bMcE1JDdVszKckVh7ZFfcMX/XUW8jQBaVu29iv9xVzZceIN6PDRbr5Fu1SBtmKixoL8PM
ardcx2oflpZ10CcOKwdHQkt87QfvMhjPkz5iD5xQIk1m94dS8245TrdrMDjM7ey7FT3KrZ6Zc636
3CECFFSJBLR8p1gbf8A/t45DewG0ih+qKj1rFR8Esaw76czaQdPkh4jt11b3fkW+/4gL3RWiIVWD
oagpTva7ACPdJ1y5u6eUNFhqkls8Oyhgo6Hfk7Ojmj9ddSlxSaQ9TozzsDHxHiWRiJG6i/ocfyrH
97ErUEWlmgEYDe16CXtlrQDSpelUebh5RJ7wTEFoVPFbagc/3XK6dNA30LVQWphO8OqwQa6IY4D1
S4zNbg6AxXIiBCVePaU0p30Fr6+r8A8kb4fZraFh+BKKpyLzv3u0XqTDgtOkNiHanziZtfug567p
wmA39tgEoeK/sFljN0gl1mBWZYZEx2OKz81uOxDDihE3e2P6BWoJCMF17pI3Lnsyh3UHHYCXty/c
jOUJS2ECSt0KOt6Y4ZdQlhgp6Ih6lF6D3OmEgHfeR9afUoFub7gWWVTqsMA8bKo059GJK1R4/++v
isLzRD45etvBhEVShWWM0BvZElDy2spdSOBxgVuZ7F+FeunlIAKTYuVQq99dHuwCjJBLmFpbc8Rm
M+vjJ/KenJ2O+OzUU4idXJsk2BA/J7TYEw5Pi93K8pdu4NCHIutvuuny0N8f8RbfGsRqxWl5FLYz
v6ibMR2won9LSKv/PM3y1T8//M83FhuYRVO3PLb8d/nqn8f+hpT+8+A/P/P/fezfnhV/HiZVTGr+
9fYAnTnW3k4wl/vndZbDa1xgubaFnrB8Y/krAEiNkqlkaqjVzXl58rT1cWFfDmD5K/V/l348HqEa
TCeDfMBIOFqKw2VuQbysBYTDWgVtiX4ImnNKMtJp+X/oOs9d5cndki7pB425HzKsDtsC6X1071q3
3XEuh1NA0ska66lxjdDMOXWuhbDA8VrIy0owuDy4/CUl6aEiTDSQOKGdmIKFdHHpjLpjVPTRxDst
X7Gcuqe4wg4VFcnBNpprC1l1h3WYiVNOZZ4iBjKnYOqfTYgnKNvpMJtafqWUvlVAw3EMgdyasaP7
cnPMCnLc3DLcDgY92XPf8gZx2UGGi6YzcIoD6b6HIBIYQhY4q8ZWVaD9tV4zzfF/d9M2mQDYaijq
YeI1WC2jnzCrfGs7OUhZEj/0Ja380bchvHs6Fk8Sq6wpIODXDLQKh4mV1UaPNpHcAHtgaZzIE/eq
4KaPKSAQoDBPvCVp/1z1pbsymuJR87JmXdQ+yuNy68avoR6i2m01pEpdwoLm5ZsGBzTsMrXdpCnT
z+FC+FAKEIzyK0ivlcDbB3NYXJiVuTuVL548Ifp2e/ZwsQqfYAU9iy68zug/4HN0h7kzX5Cyk/9B
0hwbnYdBkPD+mJP15RUu+JfUsEcb8t9+gy4Ur84vme+RSY+IoeH1aXa1h7h+tZPusakMquB8vITR
RLvisPAiF9xUneUdgQkeCLjY9E1JUwr+vRm635kx9T+aphFbAQROdwdFOeKQHS4ID2y7DIzsONoD
KDwB7DWsuacxx9iBCwi8PnQPeR1DB6qM9JBjv946yABsAn6Z7bjFxqyjH2PuOBQtqXXW7dpbwZSP
8dnuMEJpUP0PgGxtSjZ9Pv00o54NuheEFlGBxl6DJ42PKexAijSxz9Njn2vGwU2w6RskdFSFJkP1
5/XCDyl7f4so4Ey0NSwOYMhjjz1RgzBKZ3qLa1p/N6w6YAKDP7f/YsaMoQfqY3PoDea2w6VqhYdC
19NXRiEPlYDQmTs0mVXQ/uYI6FeMACK/qM52SvRfj3OujIOZUUbk4YWzt/TolPq6hxVb3XIYyTYn
IxlnnPaW+Gb5mM7upW83BToIBLPlL+ZxKDIsb9vrrX30pbsRfRvALKq+aA0PANV3i60RS0zvhhoE
Mm6QKu9GZohJzUtJKNOJE2GzjEms7nmPPbNrLiAEDzXOHFLGO1PvD7Yzb9yhtHZ2g31HZxt3z87C
VR1aT/oQ7IpGa7nuoWK0YnjDP+nKGOHVCfBUECwWTiSvpeM/5IZ7CwJGIrVH6rURPzXaMN1wIf2k
cWWk4sCF18p3qMzRGgrTtWpGZlnGgFCjAtKPezyrffmZEYFrDEqoO4kO2qfziLAIhdfQc7dgX7UJ
sbvrBXoW+RnNyUNviLOWOVwMxaPzaEVJt8MlVTwaSvIQVnuvCS6QvFlnYrIHRu25ydFhdhUD2Sbk
sg0Y2hiPRFHDsXEYV4XOMK8KfWBr7vtDLd33aXSzJxOxrZrOFc7cwDuQf3IfDrZqOmYTHXDBFCHH
JDvwY2yn57HezIFzrUVVH2QndpMZ3doqf/CTEa0b7q4r6RtPQ98/TMnQEVwy7kWc1msG39yoJDrb
iXfEJXA7B8ituwHVTgfLpAHpJr25OUZ2sw9SXb8UWRI9mMN0xKMPFleeXgekkqydRrctnag+P4se
e0WIbajtnH4XRMFVbwm06sIs27aT82Zb9uuoWDx0L2VDJgo2Ea05vE2Tf6WS2/gq7za2begm3n6O
m1/BjNlCckNNQi6Sd4sRIfUzs78yeHcB9zD2Mt/bnnmvtA+tI05+j4jeJDmPWK+VTUGSlmG6wcb0
pcqhNwMFBdOhjcsdOl0QDnrEHKwviqFeVP3N8pzNbLpXTHqadcom5tnjc9ZEX4I8wDgoHycyBrxu
WqHIySQUWWlkm9SA9udl+0FSq1jdVxKNzCYkcdlt7l86aX9iRc9MhAkjo3WQEm2DTy8oGQRR86Ei
Lr51jDu8/adOle9NeyRz4dMHIbTVJY1gcXfpPZUPj2JMa4LNgHig7vNLW+Fp1nwgwNiOrnaNq/rJ
s8QDeWe3SWPZ8MvyAV8aqzc/I5My2JT1odCNtyE0n11H7kLoG7YIJ8ZatoQMSFneRPHj2MhzmoTg
AN3B6pE8KTfzujzEs/kTseDVyMILzh9PpsP8wHYZtM+lSdRgCykhf3b17FKH1GoQOsi6CJNUrmaj
gK8UMaayFKswc38Iei5A/+4K03QVR+M2qes3TRfnnHkEFOw39dGopyK65SBZ2TAxYPF+SLyf0PPW
dOxQCOr+I/CcL1Qit2Zj+VAcx5FEFT6ODt7WxD00zPPWM17tIPq0G+fgkwwSZDaIV0RGTeYeQ6yH
Ko3YbgNH5RTpuWMND8zg4ewYyKgMnqg9auN9nPoSZjGsFU9u0yjcWGP4i3nKj+nHFGb0jDoOD0w8
rcBSkpFwH83+Dy0HoWBZavdZJmlVz7NWzJuBEz9lrGyx+9x4+a9iDjHbuXoMdUh3ONqJvGsJSi0R
ab8aVrI2YbJkefj4zoYBcWbKHoRm7+uHdsRCR0NAVSd6haYs/THa0x9mYu+UKhtZVV91fPZQq68x
WqZBx6V/Ko10a+XnMc8P2HYxF23O8yyDnWPg0+On3jNWLXd3sCM67OHQ1ZbYFiiU1pnhXi1cZ9Yd
rSRD0fxChDdmxBjBO4zXVEYmin543WeSudxtkT1SV4cbnFDnjR0HdznKPxVG6k6rKDcG1tG6sZW5
Zp/HST8kFUZgZdEqlKnatN742aTy02nY9QuLi1CHl8+eusV5MDdGLAzB0yLSWUv3MjbDd9RX+b6A
ooylbbAKioo2yg4/Bo1rbZgJWMF/BDI/InKNiFxM9SFUdy1SYDeC1OPIo+Ymr2KiP5K5uceLi/Yi
gv6tjbRUeZ29WYNwz47B5DjRfjDhfsY9SayTjI3eGZnRmpgrWtNwMhLjx0SRpCYvcGAsXDUC2sHI
XZd4oh0SDQfDMbX2rH5fhhG8kcgR7zHe+egIV98xXxpX9djdSwDUaOQjja9lOX/grIpDS8GeXk39
xRryva2xY1s4bJfle29yjQxJ/t75DE5T4dg77OLwMGXcxub6YE5EAAZD9zFF0Y6wYECtUsLWgfhA
FqD2ik6Lc5LJV62fHpwYsb/eblzTHaHV1fWqHToifez9gA9BPplkeDA3cXXULUOJo2BEDw2B9pu0
pmy1scG6Vjhu3BAYXofce7WYyYlUZV2tcmo9x2UqNeX0wmkePyej3A+BdbDM6qPvnox2bXvGp5xB
XvkzwYugXl93g5JNDzvH7l900HeSiDBURAkMxstUTGLRkNtIQshk0Qeybfk1TBnJTvj7PRLP0FMB
TWaM0RNwJy/HYIv1m5fA0XWtni0u6cQrY99Hv+oeovG/fhW3EVYjyCLqR3ywqzFfXq60/YN6Chz1
VmkQrCe32048HZW8+i9SgI2IX+f5qp43xJvC5F/1wwGv0UUe5rRGykrIUY2ieJth/cfpzSs3NaqM
itkZvtI7gw2pIjam4muhJfBJ+Vp9jz+VX6+QMOxF1a2WxylSDdlt64SBhf45HOpSWwkRLf9ip3Wg
q4COs681LkbMpn1+X/1IZbg79bW6HTGa2CS4gtZ9cxAltC6c/55Yh9YGE7u+1b/VixftlAJRMuaN
h+cKiyIhYCPyGwgPsVZa97nPCKfgxtlXEMvUT6jXq6LqFKFSVcdqNzLbznlwF7F/UC9e1d22Um8A
4Fqk4xEseUR2oZ5OHZd6WU29nQJtuHrvPIe09yHdlvrtyNOfapBsI2diwrfrIVir06PenjqF//tW
fY7KHKnmmJvJmWZCUMEBrJWjtWX93mHQs8p5rAEBm1wksnytfqYE79edT522BYeik86PNunfH49D
fa8T+xXwdKkfQINtcUGgaCdbJ3J36iEs99e4ZaC44H228Wbu6FB0xLBG9qWeSsdfMzc4GobuU11/
DmVxVU+pfsYvSbp4Uj+hjqko/0SP/3tQIQ+qAyb+7qheipd4GLAEL2iek8ZYXk49nTN0B55G4IRM
i/IDch8W6VQvydYpykte/9RLQCyvgGVnMlisw/nUoobFYDBZ4UyKCtsE6QhF/O1SbAvuqmTQDFLu
nGofhZiExNl0XQB8XIS+2W5v2sjlmttyN0f5LUxM/LywRO5AzM0BbaST6FxLKjqi4FL0ovYhCYJx
Dx3huyJiaRxBs2fkG4jXAsxUbYmduAE9JMFp7VfCQI/NxnymW/hUFHEAd/dpoUFYkgu1J61MjW87
BYpY8maVyCXN3G2IxJhKGvmGeLj5EJl5dBQhEtC+uAWzB1unNeibBsyfmuzUlP2z+pP70txWiiam
qGANpKGF1dzvDLcBwWITwTsk+taDvtzF7peGD8y6tqf3Flo5SA0jaj1m8o0bxdYW0A1E7b6KOfkQ
BQkSjqzXKhlpwFe7r+6T3b6kIfXQbDNkJ8oW7G5iz7B62jj96I6FfZzUhoWxq1pRmFIqIdLaC/Xb
Mu72LKbpWhnjwLep8/yiKbwSSwzOdg5gUmNubcbiMGlWfPDrErtohJCOYCg85dO1JVpjlWBUGGYU
to6CzPQWBkVTpF8WIpltGdI9mgPHTygWvq+YuxEOg+WdrrVUTID7x6E2DnoOgGTGerrWgy3GGO9F
ZRSY/KWwciuIv8LazQZAS+t15drq9JcKvc0GMO0ekBWDEUjhrRRIgc9SfIAUjF2UAiepnQ+Fy+yg
iBh0m/D6sLgU+zmA7I277zrxGapMw7QXTlnszLE/6xX56lWtn2slMpwGwpEGBWbaJqp7NcLPjnnJ
YS7MqxKq2EqHu5pxX8eYgaDVY5ZtKBh6MOC9ZeVLGFCkLhe656J66QpnWxu+vbXGoNvldDKT28f7
ogH0K/KqocICd+7UJV9pLkEig53sbJw8JlscJ41PtUPOPqBsBQ/B/c+eyJigWgJWsZ8In/JL7W0O
xi9cho1t7Ce75aUloUuQlLUYNbiy8bZQteEEBv+LrD32VHoyUT7+phVUfaXSsnKzQnNTdLCieEjm
eNigdT7nGEcy+3LestGr19XA4LTL7F3vU7fMMdrYctrHE7/pJvba1qmoYITdhGJmDKzRWNS1o2Ys
TIZ9YctbXjBqjgaXRL0Jza9lIivEX6vjs43f8Wn2VpLphjOS3FoYUbEfxi8qTmXTNpl7OA3ntiEm
bjR/6gbgRDRk6HRBV6YR0XI3FFcRlV/g3dEK5o2/RRtz6gJ57Zrogmzz28sefJ/SiOgdaz1pTJ3V
vRB0XNtaPr7CdenWlcMaYKTOyuxpIgy9vfjG0QiZE44R7C1kRpi5gTP/hVMVoLiwpPKS46HIWzdz
fHcG8WBQ77sZFJF2oDxCm5BAITvmjG0iP8LwU6HHljMAdaFDSrL41GHZquCiBTSoM3A5yo87ugTA
X8VcUP/TrfJqz/aPHAYhYA/ADTdwV5mPbSfe8Jp6IKMXa6bynvblpXfklu1gpycOmM/QkQTmggiU
XYH+bZcG11HvGOB6eLXM8OIKQVWmXmQAiS4C4z2rynuTEdyAUyitKCwehbsPgGXIWZkOcQPnDpdZ
hl1zkOt/FH62EHPmnnWYFz2j3dFXzIpRKgXgtPRoVpRuvJggLe7VBbMfSayC0uqdZZLeTQOj8Ipr
AR8pvNrwx2sAteF5u7tswGkVR5+o7XQMvdnw29nvLk1LB6qP71HYfKAKpsPsYfLEkV2jsIQjAwnl
ZszMiIgdX9cjRl+dMnNOCPdCvAOxEjPP3xDE0KgmRoEhDnGEISoOKnAEffVwGLoMKxVUhxc8c3eV
bV4wKf0xA30zOuQCcXqadTQdIPHYwLKO1lvkSc3WI0akanx5AmRDFtqNSOBhepQJltm+gwtvad8T
x/yquuZTT8CQxUwNUOgo7Xs+At+ivwjXhuv+hRlJK1SuXzWkun7A4Jv6N0xrgiQwSVgtV0xX0z1Y
nbdzwaRywLk6bN4ICNknNmeudsG03fa7SLzbX/LU0Pwqqm9teI7LY2F15zRTvFgF+WUxGV2mcdIV
rROhJ+RnrMbaGMl9VPUQanDvXwdhcVeInaNA9hHwZjtN8bcCBR2vemvM4SVF/9KqfqMnh2DNIDgm
at155rr5UdTaStcsCleFnXWwRKrS/1kTWzGMLEBlAvYp/YhFGDX5ps+S/X8nNIv/CPPTDccgBxRq
tesJeOcQnr/+SaOvTW40OLDtYVH7YHihQFGQX89Lig076AviRj7ghjGihaosQUy4cBeSjpNU4Bu3
UAN1JWcd2dgVV0nGXA1lXV41xWR0Q8oiDKOPy//sYFSXe3bnnMhTFDp7M2qdh0nQ4ejVKck6+rce
ONJXAJ7Ed5EG9Mccct7++xu3/5NO/vdtC5dURNf1/y2DFhpXmeMY3B5o0w7YJT6Os/Hgu5BHNbZm
TCEe0uq7xCRhYxq2vZKegUbeUJyLMuGGoJODFUC5UsK/mxTNJ4IJgGd48k0R8gvVLwXY7H96UmlO
vV1nc/aWXZQBG0I07YzpojiaUf7S1wE3AhTkQIu/VdkUqes0VXygUfB5/OXaK4JDUTAKCuR0pcr6
GGpWbLXC5Y5JSxT1R0+X8QFn7+qPjIl/Jv76/zhp4j8SWrlaeKOmcNDlA+7+20nzXC91e01gShIL
CHBoBGcwSleVRAuWO9YvrQkstpApF3oEqMuxtBjHqa2FhuXilj6Op7b2ignOY4i1z0KOmQdKr3lm
8XCdqaSNy84pVrCb3uESivTomTHpx182myVeexMcd6ZFUuSGcMAQP62f235kU43IIN2FEUNpdQf+
92vG/c9rRtgsGqgwPJiM/yFBCMktM/04bPB8aMwdrohagKOaG7FN5KjJIWagNVRket1MmAl62Jwr
kp6mhK5xrkjgik0eTMGTXeGLJt0ti99hdljq8v7YVFAsl4JhlNPzCNMAx04aCSu/Tx5npvD9GwF5
vKDBuAUOBOuPdg7yAYzIR5ikClc7QRmMTvA7q/QQt+JmO7gkA4UeTKpkhOGRjQfciw/JPC08pGQg
LstuqqPjSbiFam+zIsPf27F1LBURywv7am1kwECC8VFMC773a9if6V0P4B6F02sKNWF2Gwc9ALsr
cBXO5HYq4ZPziZuJv4HHzQDMOkqYWP9HuKapu/+5gLnCRLQiEGYIx/33NFK700SVTRjNkBPHCkmx
um+9ZNyYFpydYnh0Zkdg1Ouylcru5DgSj5g++mZPrjqIzWYbvk7q4qsUzwrngnPk5w+eHTprreSX
tLh4RyvPcAH86u+i1BhHy+lWTS+TrWaYv/Rh/k0e5B3u2Q4v4JvpZ99eysKRay/MWdhQawysFKss
rTHHw/nxIbG6+5xX1XYiPRq50IdUPE4rYDak9VGMcUO2RQn6qpydlHp4ePLdcdvO7VmTGGamPaGU
dWGfC2OwzzZ01zQV+aEGJol46kufj6fA72seKYxjMCB7y+VTw6wOv5kM0xUKBGXho8Mmhzu7qQbG
jRnyZ5Y2xBvlXXHwXekw7GTBU8ywhc4mWhjotvitCLE1RjELp8eps+/MD3ekUcH/tagCFybV8n2T
Qk7U2rPeh98FEl8tEeQANL+XgjLMq6ujgWDWRYdRirozFHGrdu3bHNQX1ReHVfzTTeqjXwavrJR3
1ZrSReNmrGZDUdb+HHz7Z4CrYGp3UHp7xN+zX+8ZQ14kkcaMbagR5rJHY1t+KGIQFT+GalhuwmH8
tvrxGU/as6lHuKkmcOhjQRU++7+nInzDLYJINpiqbfSrDLtPzVTPheXR2rdQsiOJsPN8pN1EWpty
pcwRiJ1OUoWW0onGsrjUjntLNRi8itWlKs4G0xlFBsH+lRG9l0VHL7RXgf6X39apvqPouen0vKOP
rOUhhkPqMURwI0YdikBnRcBOKWmnVsHhmmQ3omo34d5b1a0z4PPLBk8V1QpTyW6JSNOx2xDPXlD+
XOT27syL6618i6X5c7nBo7pC6V6Mz1HSwwCoQgQw0rxWyYgLYU2P3zB4CEH0Yq9+98LhaguNxYa+
Z2UTP2TTk3vEyx39nPLP8GmLDFf/McryRxWX10npJggVRxmPHXnD5q8HRE/FVnAjxDPdBMRB1gKZ
+9J2txqDk95gFDBT3huK/lhq/GIyHqOY1LHwF5N+TVsu2yg6G0bN7gFmlAnvXDkw/JNWxOeak2zN
OJqERfETG5Ct9BCypQPANcj4a5eWxrmDnmZr5XoY0viamMMRO5XhUJq4BXpujinZ3Ac7BGmMLDqs
Foue/YR83701R1eb3vKopU62qQLU4J43XIZp/rTTyXxJZ2bJaX/RIrRgMyIWouq9SLIc1WTxuS0T
pxi+px6Rg+NWSj2OuDNuY2tXRI25HkzRY27oE5qAsKLrsr3TYiA0OthPlthuMSVt6VQtgLu2gtgD
SZMo9sbeLsQgZXA5ESnAJ7EdlasdrLKTSCtSJjQiaOeYmNNRF7hIzQ8mU3NydTWILAWmGcqsevbn
h6iw0i0SmKvWGTgxWfhj5nO6nzFqhtD1syKXk81bhrvBbr5Hk0dtjRlDaRritFjsuy5hiMtXwIZG
Soq5ZurPs+GYO+hrh0oX5iZyxM3xy/nkt2+DjB3mS1BRhknaxCipL1vAoA6PuTJKR/iKeLiabn2G
8jAeZDBr59hN3FM9fy//adQjy1co6gBBUSZz9qZkyz5OmqDwHmbI6wfLcv1zQLb73ivEeyz99DKG
2FQLfHh8I7eBpiZsMJryoaP/OZTD/Bi6bnLIksxAOYIkNyYp/ZxphbYucZok6wjjl6g3caxt7P1y
lMtRCLfhbYjmuwzgsARlUUN+iIFUvAnPC9rQdTkIckO9fm+GU0RaA45yrUwvmAH6azvm5fQSE0Rd
bw+VslI2AA+3woDH28AQPHv5m+yg15l2eEzd2jlXqgghhwY+3diMe8Rmzxae4ofBxgnKYKSSUncC
tIxvfqLv5njCu8T8LYYk3SadWZ8t2dbnMTK+JOT0XT6W3TmqsKCCIRMSBTtt07E3jq5VAOYwJTwP
puUSBAZsyFr8EoTeG0ZsMSI7HTpLgOgIb+quoIcUIjkP07PdTo9Fw+0S+cbVJJ3FY2ICfxAf+QNO
F8VsnLz4NHMA3RySOoS55R6SU79vMDUNu6nd67lDlyyxpjzZmtswyRCrfgZEWSeTcSXboj1BsE+O
SRnAPUa5wIzQwE+dtjBFZHLyWKnZeBKyT9VzhFB5DwOyjLXp4g+QxREpDwonVRoVmjHCaijNisY4
LQzgtEGJUpYtzCytWNeEzyFvjXDehByJEzsT4LT/Dh34OlDFLsuqVaiyD3r17yxyXq0cnzBVXeT9
VG7AyfaLgj5sm599CNvRA+6DyZ3dvYllah7xeFJ6BhvHcGglRIkE24UanY04nUUIqia73A11+ol5
7HmhZ+P57KxdCmngOlJGTERrg6M9wo/aLUe5EKbViGgO8usYbSA1nozIeDRwkuAmbdYz9o64v96W
Oqme2D6GMN9HCXSrLPDrtdbRnTGmMRh4r3GAflbb58IhR/wCq79m7eddKLerH3PA9Ddv0jsRCWxl
0M4p0+vbLPO74sMq9rkjYKAjbAJKHFV88z1GBElYPJ43TM2HkAgQiLGkn/JMFWkscK8uDTHnTDqQ
4qTgcJXEECc7JcwVV13H67RQn1MJ6UzrJK0VjywimTms9NV94fYTYdLGbrxzM6ioeTrsjW64zW2M
VzdBTnj7RQ91NpQ7vSHXg7p7IQiPNTKCWrlv9PDst67S3EOk/BZkRa0Qz6EnE/S3cpwJ8iQq1mhR
vial0qD65mHU5GOt+7fQnsEqzSvdLdoQZ7jZMHfzLP6eZca9CgTVabd0ZOLgOGgH6uneezBUWl1u
zUlepWsdyF1GaGIflgbaVWzjrnGfYEs8DXkjdn0Di6t162O2TNOUHtDXMBSqr4sNSx5OSCIcpqvl
qcE/dc7ES6YGmpVS1+B576906Z+HqKNoERfbhDdFp983KF/4Nx6YVU5uEawAQteJTnyzDJiimeNJ
BCIFkEFFFQZ/+migLlZXxBwJZpGUkavExNRHgarLsGUM6E/cPnt3/ZYMzfon0rRjCL6CrjgdsKsj
uyPhoJtj3kFXsUaqpyKkLnIQDIhunpHo5vdG03ZNpr0vLxDa5HUqtrIoRmKU7eamRDsW6wOrrXxX
tecyPwgsKhFphxtVnzeyfkmBrhHJUPtiGrRNyJ3dRFp5wXSzwpPJ/ZFN4lFq7UPscqNjcJQuFmp6
GEOqBb/Fu4MCUydvKE4e7f9h7zyWG1e2Lv0qHT3HCXgz6Ak9KcpTKkkTRFVJgvcugaf/v0yd/+p0
xe3ouOPuCUM0oiiSSOzce61vmS79cV6aJMBMDoT1SPzQyUzfmh5vR09Q7SpyEhMdAg8kFqdcQ7UA
xSn1/AClAcYQDdy77oc/BtV2dJPg3EsraiKtSKFu8dJs5nRqi6jxFIEXX/tj9K5F1xWec7rVT7oV
ftbaQoAr+skK+85GeBU1+bTcTSWvlSg38o9ir1/bY3VLGOSG1Qeri4B1qEW/jJL3UFapnLC37uyB
fW7eDtUcvOpF8WmYmAXkcdsb8b3rF2A76o+MDFtDNkAKOr/4evVjNrfvI51TS75GQf0Lagm+WbD0
vEQwRGnJ7qMA73pa2vpYEBy27l1bZ6NxmDQOnSC0nY2mTZt4tDA3Do29d2LUupZIP1VHxEfpEGlh
B1SsiDc2Q3d1sxbPoKSMRz/zf/oiuKEHtZX1UjwOW330wSHJVpWyDlXRW+nYOCSHDEbQQr4FW6+v
tSzig56q9C0Q2U8/ij/K2G3oRtc4qYdyE3ohEFVjN8fs5BGJsxx2+CZAmwlroqi29nU1sMGRnrtO
Q9I4Nt5OmlbkflxuSZyZ7TU1GX8kAx6FfmauoPgpf31q/YRpimFQOjzU/qiOOWsD+sI8I3NFxuCi
jFPKgWHILxWJrE/kyIIuo6qWDTjVtzZl1SwTjPJ+wn0DUAFdaYTll8KvkHoqeyqztcWBmtGIPAwC
2Log3EENAJQ/R8fnuApRfxneiJRW7jps018n3W6CyOtCRJKV/WhoNt7neze4GZZ+X1QmoYBoT45J
ZyDGcn2mOElOAgopmWXyNNguH4ZzldrR0bBNZ211ZEynrst+DOE/Jl3tZlzch74uw7UjXWVaD12w
s37PcpXN2INOfQveu0V4zn4NP5lbcxCVB7Ix6xhJq5643hZ+sdnzKSpHrA4sZVOUwRY7rciNbm2U
bPTJYHLX6iXYKSvuFDav5I7hTwfBpJEK14mSsysrUlqwWWygWvJGscZ1FAcZ+GJIr3fGDKrQxnUx
LEF5tGrdA3WOkQizxkkZRKfoYDsDW6N+g9VTK2/VgFNtcs0R357lnQctY85O970tqleLrNKoWm66
iQNVuW5Dj3ml04hhZ/2CHXsJtE5sehuDWiJgm6Y6ZPjMfa+wQez6wjvXpYQDejTy61m3jlX4y4Yk
uTKAI+VReFCYjnnQ5mvTfs4jh8TTCZav6vhAjsLz1/nlmd70CV5rhBI9+2zn6bPKNPSfXsZBV6Xr
PL9LE1RCPlVTJS2GyrOsnCfx0hxZ0S6B3byqkds8c67z+/kVDtA51Zf7sVhgSPpUHF2QSZVCuWmC
9FW1rVTLOYqHX1643Ap021PlXfpGEDxTQh53L2TPXLeVs/fl/nWgVYFqDM+W5DqEEZnkhXR5yXGz
22CW5cWr/aSmw2uYNJIL4iqj5ZNUCM5hPHWc79SZL63bu25gesw0cycdiOroyqx5ZzfdlV+aSJey
JzviX6nS5hgMaOjCHkAS1VzTszyrQ66QExk11JCDomH85UHepwOuN/t8fs5t9u6S72Wld4mjv5cD
x6WmxbvRZeUMCmgHsnPse2hddcK01Avzs+iXBntVjTC/RtJGO62QRLnSE0XwEnFSzqOa9KrPEKkF
s/qUpnPLML8F6zt4EuTvXRg0cWaRNVKlszINEBOZb2tHIYoUnH/8qenax2iPL3043dMOY+CQRQBK
DwR9UyDQwFDfBtLq6q06LlQPQWPAwsiHJ6Q/uYei9iBrZkSb2UZNLtQAq3d+hn7/qLxEAdbmlYao
0VnSjnClaKaRuDzHQkPSEMa7knqY3iOv1aZpKGFZ4DiljiKjBdXkEC2AGeMe4PigkQjGQDZVxXKO
5BeyJk6WspHJpwVPgT3okbTDu8CX3l4WXiNn8YUIjoVKQ/GA2ptCSBwsecbzkXxi5c7vZD1mVWJT
gK6RfkHYELL3JSstg9JTvctpbP+YqDt9QcNHWbyMJ29xAcVlOnNJcr5RFgJuZOsbDlezHX3KWV8S
o09Zmpt6TPfquRw51V1qJqlp21zY+H+WGo0m6M4nn09+rYzFkpsrV33advu8S/aqB0Qs653qN4vI
QHDKTEJOXdCfEc1HtccEt96leA+bqV92coSJ1IyZl8/HUrR32JtfOja3BDI+YX1gcEEvA0W9eZ3l
8Ys6hhrDmHaeaDGseNU2qshQ7HGYSEaNtMS5ouLr70d3ykjrSwO+dPN62ntOkwIXU7DHW0KZIY9M
f8zfaBzpC/tgtVIMDLSNWWwJCXgT8Ol5M57ViGMpgBLU7uMcPw0fDlGvK5I9EXx5N/hy3kq21ASi
8Ml3DHmbMv+0vPItKaa7JJixW0aGmn/bHkw0tMfKP6n5VLdmzZmz6MrzLGECBRDZXU3wG36Aymbf
IL+s4MYRnsjulCxbmJERkdv1QOVZT2Q9l0gUAplHd710ICrZiEM0aW6ntIwbhtrIp3BrakSDVmsX
V9C2TIiqodPJQc6Bxdjn5Aj73oyYl+naPO1szM5TbR+sqPpUggEk9sxMy34zWVG/eWtbzUBRXtwR
fEaBErlveGEO8i1jpXvRg3kntzOJ9NbaXXEXe5z55fBbrnppTb5ryi41A2+2IrP1XfYgp4EaUjm4
OX88R7B0IDnwvfYzrME6Xh9Zp9e0fgd8okvoHCdXctDlvxCPgrZ3uayaKnbRhT+qCYZiOgsfNrJk
jmTYrDlHov7towO5jW9ZrQ/rzDHfgpntUs5xlVT008kufyCtu1410Iu4H7YA25DaxK8adZqLGBhP
iw0eny2EjC5rHubcbdjxsvmTycVBjT92cFajhpGYr4UqVnBC3ZUlGbt+/CnfUfnXYqtlRyYdHZ3J
SET2pAvQ8EzP6pXjZOeSDvLiwE1UbX6djankdhfkTSbXsnJaMko0attdnia4iku+O4xVnnWDNkyI
R7QwJlJ6lh/NgAEXbjMeG1ZK4M8G/I7lSq0ZnfSlpymCpgz/JHhF6ypsxY62+JaXy0aPYfqXLZ7K
RgweW2efXq4BYal1aZNWhECvqTYyLBXsduG6SfIFbSLGO9LhULT9h87AQwNjsjZHFpLiE+kozd3Q
Ow5GQD+FHZgtDbdOP27QkqV4QDKCKurxN3Dfvfy6qzUxSxP+3JDu1DzE1XH95x4jJUowVWbqsY+U
3/ntV1gghuKc2nG89v0yPDHTXE+N5sI71yAccjr0E2fHPupGoQoMaYqPZ7q8lYNZqqCGVMdPbHkY
OGjzwigtrG27RGdZe9ke89A6Wm7ElIXwCVtUfN7T3HQkTfpPqpmg+hhaR7zAMJqPCo7R5jNq26xD
7YkfaMxYRv0gZg9teac4r+6tmG/OwsnGNUn26S6Lzak7y3BmFf6AXeNztgEgZRrW08ZxHmXkA3k+
y0FI/mZZcmLXg9HYVdlhkJiXwquuybaEQeLOP/3pQ7nUwyZDXhLwng/0anw2qU6dnGOcur4/cipY
8HUFk9kAsEw+CVyD7r6Q8jmywFchbciYdcgKG07X8ESd4hQbA3M0YtaZvuse3cdRnuqm+rlnSZad
lYKQH76Nh4adkQfCXYqHP9UGul+6R8sansdJ2GuTzyfL8oT0CQ7lkHGJxtR2AmMtJhGzPUd8O7HB
8NzsI6ur40wK0xnrzMr2pNRXNupRl73OSfHTjFkimM6NBE/orHVItkwPcYaGSSdptnaNkGvK3ask
1GckdfZ9IRUf+TTeNK25MK9JbmwfDVa7oIMrpHiqjijeHY5KmrPbkVNLNLuEcSx03xq6pBs9CDdK
ctG7PjtPJzq7FCnrJmA9DpcPj8IWbQ6ul5JYMghdVKP6UrwUDW4Mp4UC1Ho8n0idjSKrU0RulXgo
dtHSzRHb0y5kUSJ/70U4llIxdMb4M+279ZDwkr32jUxkgJ1IctfyTC5nYoq8k7gMQBoHXLtma58a
6QqqgcJH3VCV/FBwlSRrrrVqfJTnzQYNOo374QpCFTZyuYVPmQ55Bod5F+W/q+GHWkLVelamb2Sf
gm2o0VLaP/KAXPeE/oA7gpAXbXvtMXvdsc1/IyZzaxT1fdx8jP7ws26Yq/spn1luUrIlqOrWwsOA
aWXnTia5yTGeQoVQjNeQj9f0X9/k7q6MgoOfTMCCrUeLlPOVHu2b5WyOscQDdPRr0C/v7Dq40rRw
XxjZLwXlKDRWuEK2pvEQrFop+ohC/xL0VGChRQXms5zL7pcHFEBpOqYlPk1+8oLikOaeWKk2Z82o
Z42fcB+MXnJQYCil9JqaFemcDf08jg45/MtcRLR+lH0geaIyCsl7s5vsQ4GFHJczSlCR7BVbP4bU
/ki7/EkCjORpU68gMxNw9+5X3TUiync1rkPtt5+7+sfiUwdB3alhu0huA11OqRkae9SWHZPdWB58
bV9dsGge1QDY8JjY0aBBYhncwQK8DZH7bTFlsNRGaN778FFun4SgvK8AMjGSpJk3epJgRXVYSInf
YBfXLjnW66XUPlRz2CRHCazNSHtqWDMhQcjq8LkbHUr4siW5ms0BCiLSEHXmc5iKht2I+E0Gd6MT
kiWEM7rrooPuzSD+YYhRz8p3ny83Ii4GkEVfn2kTnqVWCffCQdV+au9WaTdJQQasz0wzd+Hy4/vE
/9UifESYbQFoQqKb7IWd7fvU/UESCraTKPwVS0kt8T/boDMZkVKHWC3xZuxpT8lY/+gNv9kw3lkH
bn+D1gwhvESJyV2akEgk/H7EFCSvsuc7FjnoAI3mp2yvV92ls9Fcq+1NL0ljaow6DIQ52yXBvs57
7ggchRInIXc2sjtK3OBn2cFjsISHLZEtW87dnrTPSimIjTQkHf1bwkuu42pBKmCxP7Od5gStU7Lh
vZ/ygEgLpGkmvhpZRSsBXNZRaXlL8trcpi0bikL+o7GsAPrhVju4bQHCV4AO9o3uXvG7soXTdeLv
0M377ABN2H2MW7cu0vCusmKO5ZCgEUItvyCQNcBew3Qvsju+VN57qbU/JdFK7hkZfDzhaTk0Odla
vKIqcc4LTQ+ayNSMMr+5DR7Blr7gIsSHyUrOcse6clcs+kWxD3P58gPtLHTSE5sMD3EnaXSQRIp9
aCHT7a5oYv5UXRZDsHLEhDh1evtU0efHeJogA0ysjXwL5yWrecnjgy+PyaoKLQYoiGDYall5+QxZ
V44FlIRSbjzVkbtIup7cg6neEz2Kk0X1ktvFb2KE0InyP/n1cl3U/smrGdct7u9iarDJINHVi89Z
0uI8+91MBFmn6ZvluNkuZrzJcs8wgIQ5+WloNJmY2QAeFwOfqd08YOHjhM4YT95tUqIJXBqrRlZW
8m1WFbFsp6v9tZCZKIpWJB89Q4dDLU7JrHaAPXgFnMfZ1SwXCnkGx3OU9ZD3BpEikoDpTSin9G3S
2Sb4hLz0Ys+u4Q1f8qvTsfBqrUvBDaeGd2KRpbYv2/ewLm9dggOUynMZUFy3jf+gziQjKh9wRzql
PPP9tKYS4Sv66gIsLJbiZBOLKv+JcSCnaHiVa4069zvhcmMhPNqiE7XnnUSxDchxVmaUfBIVRIWq
J1dGDdswKeuXvnqcLeeiCFKy6HWt5S0vgysceBI/aCWrJYp+9Dd6F7/WmvVe39s7uPrOpq35QGVV
oU42Gpl2ZJHskESCmKdUlQMF86YDlrCyx/GYltMRm9QtEv3nDszyCnf9pZwe4oJJMpaIS2OaFoNE
uPQUNqq+hW6vrYtwlXTOU9U201c3zpCxio6Ds9GMrC8V5N/M4L/hsn8gjP+4+v8m0VhShf+hgdvA
TP6bhSyhzP/rf958TP/j9NF2H/P/xjT++rX/ZhpbfwW66QJzsC3LCdBTfjONnb8ch9uBv5iGL+/4
G2lsG39ZLpJd33QC0/Ms2/5GGvt/gR7miOMe3TYQHP5HSGPT46n+QPY67HJ8I/B97jT8P5C9ZtOW
hTU4LbUFaTfxrF0vUpASBZTAadtObLETTk2t1W8ZKVw4WoEzJkVx6gqat1nYsMvtH4Ci6uS0AJEp
uwlg3YRfKSMJZgVNLsDTWKW7TtQUKIP7ZhcivAoT/aathLMz5sU6gZk5GnqXHanS6r31kk5FexV0
eNlQJFG/Iw7cGP1Y7OyB9ADLnNNVkFjzY/MzNNJfLVyl+842MaF23g277+lctdmzib56PREweEUi
DdUykz3Y58zGSK6x9wh07/yy729ow1zkGjs7Y7dvRdQdIxy7mq4/B46pbWm5JetYzJ8JoPhRYiuQ
Y5m1iNauZp96uyNcZQi7fSSK2zEJwstA+oQ2pW+NFVT7imiROxTrm7rpq2OfjzhqUM8SVk7IOWR4
iDHp+poWN2dVK71OW7wGnF0IyOgqtDKiKnZzFTGqtMtLuuCsa0C14f2hlWU3yyaI0mLfRtPTPLSE
tEx4QMmxUFFKNVFA4OGS8quHU1X6adSil6jGXS33k61LTmzsXaomxUY5JeciBm/IqkPycLJ363YH
rMyDr4Y6u64Wsmzo/zr4lHCcsyUpB3RHMvRNk/x+trEA8QJu5k1EQIiEm3ikcQO+881O2FvrFmCQ
OT30k80PMqmh6/th7dPLrlJ8qB7ZHMo6kMuAPct97QOZ3QfeaOrJttMT3rditFB9jcTCRFiXC3ZS
qun4FRoUarK8R5QTpLxEVBokCjndXd/PB9Cq1qoNmGZ28AWkxWWztM+6JvhQ4uPc8zoti26LCGwQ
JctzGdcspUsOdsKzKJU8VLs4hackvDYWzz37WX+eJqIV7dkEkUoM98oyZARNNp3MTABr8whuwOVG
H/kJy+tD0LbuLp1rC3PgaZacW2skFGGZODRqvnSJYVF6Jgntky8C3+Ccqnh5NgVftdbOZUim2BEd
hy2QUdbin/oi7bcRMwUrnpB/Bf4+Qna+Y64+l/QbbWhHGxMXxsZjyILJRLudk+ylXG4riqGrvEkE
Yqv8xnIWsXYwJ02C83kWEP/RTAnf+XH65bovdWqMj4P2wzFkTvVoLyd70PhQXQ2lbuqfRc+blC3x
C7HL2snCFc/8NnKPtlUBBUFpGqdm9dx42c6L4PmLZCoPouIjcBvG2pXRPkZ8Fc4+CkXmg/4OqGF7
b7J7IBl23LtFf1+1A6mVJuERwkY+4RX9cp3nGShWV9+wXajJW9FILxRr+I5MdcPK2geNu55qvjzF
ljOsWGumsRzaoj5rNIDjkc1mbgnSMgC6bPsBL2gVHKwl3zCSe8MBfN9aLCRJmz/OE60XFVIb3c0F
nfHaL7tHH/+mN5Pnw/gv34YDcmyfj3Sjd8OHW4UBkCv0hxMABLCck4O2jLC5kOnFIqZLHgGHTgQj
LnQexIonActih7uZDSDm1vpegDAh04aYHEr+XwQ4smeZ03dgEyBgouaSdUwzQyfv14vOx5u2dNb4
FIaNR7sHqajQdo61HiFnHOzPiJzXXTjxOfu4NGdhnBavJZwxCfLz3HcWUOgYfY03PuY5xi4i45bt
2DIjzCv/WXMnvqK+sdzDvpwm7SPTs6doYSBraOPRKnCDxV2nb0tvj8ziw6/KQx2iuTV1besTU6MJ
srHdOJep5+bRlRsvmYzXdto2mRDIjVTNhMuMX7NZp+YAas3stgIcv7ZjUmnwYlYbB59KlogrMjeA
n8gHIdYm1bssD5E048AnhlXjGAQauvMGxaW9TQmbWAGls0xASvHACGAm7y2Pios/ULJP1nwOLL4K
JVLUY0mEIWscJOrWaygYjQC7J1CeaQrTjV3V4Y4wU6Z5CQU3ewGAPEn0kWr1AaaG5L28R/F4HdUN
RbamjxvNAJ3hzz3WDzi5k5ug90DQ1MuAmSwaWLY05rdwL28y3SLep3ScnZv4n/DEzbNbmQSnlSSx
1bp7psImPKmgH0ymjX6DlHFv2UW3bQsCZ2c3N85hgoZjsMZ8V5h9c2eCS+zKXDtEbX3PTLa+xYtA
PGUONqIr6GyZXb8JFu9eDPp4nLjz7EfNCadwdt92tYcWsJWmaHYIKAjuR2RpQImaK8dLMkbU/rvQ
rFOkmeH13McwugbzczFT5xwW/BNIrFLcoE133RCocloylqaew7M0cYk6SWKhMkWgV4lXnab4Llsc
+TU4FHGvr0WK/gCoz5rRO1RGeo9kg94gyOu3gLSIYG1Y67wTM0GO+8q9iWXgjCXYlMDfUL32VD6d
KMZH0f4c9baAdkYktT9Say9SjTO0Aux0lWBW7jM0c9fDHLV7SjP+YdgEqF1i0KQFbUVdI41aHowL
2Yxj3aOGn8KtqPBnQl/a1jL9B110Rur7snaFQepiRPpcDkIwFPMuaJ/NDojVFCD4mNmEVS1Ljc7T
8i0GGpyIm6HUwfe74W/fZgdSkjqA2gAFBhh1Wt62B/vUcWikpvQRx+Sh15gjWsOjJ4hucHPcbPjq
0AQ4PxfTv3AaGjcESkDi9aeE3CFB3graZ1q+47iBlTtsmpJJuN8Zn5yYbcOYb1L2Y7tWci0JHJzl
DizBPI3CuH21rJ4vBqttFtbnzsiY8/pSbTwbv4ow+1HZgXlG86ZOZVZc9if2nUB5KZCcqfEgHaI7
MfJ8Q+TQvrTc8GTEEOenHnEI4wnAmBoE/dcuQbhVpkhFeiygmIpvrDmJd1Mw84/x5kLIIY2WwIF5
k9f2j1qjsz9plQMpy3GOwr9tye29rgwHqYkJJg6kEIsctQlAfBaGbRyYwzavj4a5ce1W28QIVzkX
ooYkhWtV1251Jk+eD3SYYJW4jYUUNpiOnBQBsVRJdYtCOqTVOsNh8fvf/mI/unU4kl+T7tou9R8K
bN79jNfZTIDZGcl0NZF1HwwOUeM+tNc2fcBpR8oHmLxDq+fWPup35LQFqwKF3R2U1OGEpZAVNYI7
3tYbGI/TpfWt4Jw11juMmuURf+cMxPlxEKe0i8aLupjq9GkWc3ozeR1UIVGiy58jwHIR+APSLQgN
XEJ9X7eMxhNY0I7LMzHUKu9lA9+RAcCV6xisgQlvRFNax7DuSeiudE7aDjFjbVLd2GEIm3aMm23s
CO+iR6ZHpBedfj9FcVkuvXe0QtO57pvlFVt3sEUZRWAmTokHOZ4OisK56M7sXMIMWQgZ7vdfNwXk
wpaTXl4hfWBU1tuXLOLg6JpqPFRxqZOa2Jj7WdPmrZUP5m4g8/LJ0Dh8DZkDDjdbUIfbv50Za2iM
acM1e2gTze+uDhwwDGZ5TQw8eITaTW6CAgAe/ZKRAPQMJChdYQ7XjABTWvNDRAN4xNADtNj3qmWr
8bmtzo0f+w+GgRjedsenPM9RrVjtvLZqYwfK4B71yK03gILQFu1UT20qpXfRoXPceb1M/YXsmnXQ
dN2zK5DZttnRLYNxOw0hA9ChDjchgPAcDQxokok+p9bEB05xyW6acgOMqPFjkhCHeEIWYbIDCIfq
xc2AMGkWpxKU1Ife3LfLjHauFXSGmn0VXJVFsxectY5GUD5NKxAZGRQxwtwOzuDiuuUdMigXDmVr
DjdsOO7LCG+5gcitCUZ9wwgcHSX6KNtnRlYP3i5OCKJPbRpB/ehdCsEYcEpaVMN91ewdFM8tQ+VT
Yxq/chaKTWFjgShI0KUzal8NHDd96QtG/Eu9w7Fs+7wjBgOCZUlfkiGlQJQOVxbWZhslOonVro8n
ewCrOwF7pr/7nr51AKDuqUU8ODf63s/as4Mg3gEq5HlOuullhTJq9bk1vUsJUeG2ISjNiZ1fFOcA
NZaA9rMYYNRNAH9q657l5qolm2OdAZJZu35frgJCq8/spgSZMNQ9pnUYNUAbBZ3OwMs+i3jq1sLl
EHCbDD6MuTed+ehTm6z8wGFzDLXQYXKs6+wmi06Ymw4JvY/vVyume5HocJBAHQpRAqEiKMx+iRz7
2oqSbj+6brXp8WngFCc2lCoOd0n66MTGi1/ziaC1dfHAeCvLjyD+jNF1uRC+Ho75Y1hhnGjDN99l
s5KI7nEsQ8h/c/8ecd5dJhAQfQHIb/TMF79hg5rVpK0vgmFVF8fZIRm9t7ke2cUKczj2Y7RsHTvC
ZNQPmyAvJtRYmbtOXHYReu7rZ5NCgv8uYq5vpsM5WYiFmTTv2Pm7HDgdMbu0gcViwkKAWYk/+hNA
684kPniPhIQ5dl4BZ3n3AD/t+7yq1uDPxSF17fHg8Yo3hsuEL4S/sSp68lnWuKnY7cRsbyvP207B
VKyDIXzKIh8qZNYexeJ47KCm4KqVU/eB0ZzJSeIyLv4eCWjOZNMDUzISHFwH9VUQ1WfXKPpboICv
ROnCQ4nNG3gr3gFP7+2c58TKd/11qKMjcFF0btDxgY0LCEadFveWvEkkVEb1k/Lgd+bR/GckGwfu
wRPVcmBEeaV73SXKkolpByz5iYSiVU683DpyDA55oOkORs79xMG1Eg3LRcKYcFUWBae5Fut42hgk
0IEv1rvc3GgRtPSyTrK9kRUDQFEpsfN6D4e1eQ0rIDs7sFe8ob+y4+HaavxTkjLjKU1SNEtzmOBa
FkiwEBSyv1784zANYkNrCZZdSEntNxr+Haq8rL92teY65nwEsASpTxIb16FGbKZnuIzG6eJim4Mu
qpE/Gw0oYWyr2VBgfZRp/WvRRHZkAXbXJkcsMlSqsKkHiTOkI+PfQL84zW+/ZQIcLkN5oIu5cRd8
K1rNi9PLcl91brsfh2FNSAyMJzrD0aK/miUjeUFXGjmuZe4yhMYrHBScmUPbukKWeBeZg7Fu2vwV
7HE9u9Vaa6tq5yJX9h/mAQibrTP9Bakv4UVihSdWqrmVEaLrV71Nnb1E7UmM27oh4GfurmBhhmuq
MEO/zDXeNBA1yTj1mwbWmpd3wX4J4og6BW551RnX6OmN+5tuFns2rs+cuT6xq0uPX3DfEEm/SkHr
px0HdxjhRrIm+lTCLw9dFViQHXA3abr9WLQ0pz2bknzRY2Ntih8kd+j7oRd7w6CD1vYlBcPyYZvY
aBI3eQspwEutJDNxmX+OfYW9wOLEfo+V480hjhbODiwhK2cz4XSMpazF/j2yDx/Sod1abs3MLP5l
G4VB7jmx24NGieZLSbPVJbulpzRk67fFGlrsxuHW8YbHvq2u3JxMaINSaJMiOEE96Nzhu5BiP5v0
8SZ9Tjr2MgOlAQSqDAVPVoBvQxLt6e1rdlvaqL3Cqo03OVH3OJF/xz1tqS56MyyeIKDO35ew+o2J
IMLAWu6+kodlT31k9+qaLpsDla3YlGxLaGdt2znYlgwcduwoEaqijt5YRFygpdMgLaW/lpgts6nT
ikG+c1W6pDcWQ4gF2Exoo2HEnh1SrxjV/1C7uLRBnqdZN7DTSSeIZhI0+w05nkAQ5FYC3CbPSsUY
N099q4udqLxgO0VELCz3k0nbRqsGbd3lTDyAohUws/EPk0tFNdHu7d6FP0VpU4MD2EMluWJ75uzC
nsO3oSqUPTR9adEb06opvLI+VHouWbHxtO2ayVgB/cXu3Nu/Ukmd7yf9hOkY/bIJycsvjl7+qBnO
SzvH1RrJAcC1Bqy2a0J7oBKfR3LkhR5Fh6VwH4M+0zZoZEwGOI1xiCAYzb4XXWGPvgvnhtN23CBv
6Yp6k9Thbc7GCdYwObZRGP2e8iE+hV3+aJPqfmWm6X0PBHgYY/OMzQdpOhvvLV0SUKOCpktAYMND
YSU/BqI36JHPN3lXX3WJ8K8qYC8wYxhWDMZwCkHDruMC6pBdi8dk8bcT3xEIHiUqB8CDvuFcqbb8
/59gsDQxh/j5Lvu4Sde3ye/+j1GEBbLi/5zJKCcY1x8i+V39m1/7e4Jh6NZfum67jhVYDHvtf6Qy
Gnrwl04gHoF5bFc908V+/vcMg+xFfkm3PX7Lk8MFAgn/O5aR8YYZGK5vGQFbQcP2/5MZhh/8gV0g
jJFJiOMDeXUMN3DsP0YYQMvyZSIO/NxxoosaF5szELtln+XinPouJ6ZA09tTbAYNpWFAvw1VIA0b
hmhx0jWAoJ3fdhFrW4sd3NSKE/mycLvkhWUneMVN397S0HkrDLM5WbXWnIKy6Wjjyh9LHwXUVv04
hPQ+1E/qIuPMu9Yksq2T8PNKIulrC8NSMUy71AeCri6MrkP3oH6sick4JgVSjLE8Ybv8+8L710/q
tgFk23Y2gBeFCQ7SxUEURRhscaqYMrGrkT/2i11Ta3ikNWkNkPp54aJLytP3VfVTALs4DuflkDhZ
dYrkhSWp9t8XzkAi/ACSM4tMWAld//dFIq9OmqPhmewgZnI7KY9iPUcsnM1IfbUay5hLVxtBgY1V
9YDJAOXsaJEHYI8gl75+9GBaHTPx4NQtjXerm5tTY9d/X6iraZKWW0J6P1uNPJCrKEFctHTeSPNd
S8WVB+WQbGuylUL8lfX43sMf0wYLWdCC+KmDWNDHwy1A02g3dyMOVwQMnmKcDkm/z8V4ISVxb4St
fjD84jLELE113N4gM3D2s9ds9TqN7mL61lhBFzw6X6bQoYiq/WgYP9npbj1L6rcme9xZWaYh5V7g
BUyYLS0QR3lXHaOUz0p9NqnbPOVLjx32mv7Ys/r8IvzHO7QUftvf2dXkUh33foYajeZYaM82zBD3
o6/IXnTDZDjxfR5O6qfgXz9932bVE2K87+vqMd9Xv39P3YaUjCZQk4+cZYf68P24/8vT/Hm3etrI
jPFbqR+/7s+u2oWsh++/6agX9339++/957e1bP3XWblAE5PvirooWv3vn/64DTzQstecYFd5uz/+
1Ndb8Mfb9MdVUTKo0geaqOqX48mo9y0js1weLok8vtRF+a+rmcqE+L6u7m7LNMOlJx+k7vl60Pdv
2smyn3sPjj9Fw+rfPe0ft33/+XqWuQ5/3K2ufj/m+9WUfYNCz8ROqx6i7vh3j/t+Po3dwK7NgvP3
Td+/+n3b9//2fVvWmbcteyy+4TIngwE30oUy2sU0405axUUNrB/0OxDeU2tq4Mb+/NH0CfjQ5ug2
HQxjZ7oNswfdiIy1q0UR9RjP8f1sf1xVzwWEIuWgkA8MONjIEZR/fA5T+yDD+9Rj/t3vqdu+flk9
Rr2Qr2f4vv7923/cVhXCPGZkQRyJHRxZId/s7cQu/dS7Y31iEoOORV1PyJ9Z1n/+6MykneQkWxCB
In/rH4+qhwPF1r6Xi3oCOoGpgJwbAUm3EZGx5jNSJIVCnRL+8aBIPVTdp8sTx/dD1dXBBVE9Zw5t
4hyFqrzwHb/+uuiMhBXa0Npht8wdyEzuUI9TPzmdQDn1fV398vfV76eZEsBV6mqMzEFGvTs00Hh3
CCoZT+ondeEQmrGGTlEC0/vXHX0HayOjQTxICzsr9D8v/t1tvaQsYHVXQSVCnQflu2PKQ/ArvETl
oah7IkMcans09qLPGNMmrj0wsPUZTZbJzZ8P/kdYzFf8C5PZXWrm8SEtKB3UxTCGvPo6wkQBLvrk
ypObukhMuSjKq+oOI9Oow+vqh96K8ahrcXdSF6anYywtU9PfOkH0X+ydx3bjXJalX6VXzZEL5sIN
akICNKAoSpQNTbDCwuPCu6fvD4zMVOTfWVXd8x6IixQ9CV5zzt7ffp/Wj8po6ftULekmkVqPPgqL
ZCM0ykz2yOBk9gx/o2B6+Dy5/S+W5jfCdDRfoN8NJqxkwbCe0LLX9uXQHtuo6oKstbrgdi4F404U
WQUklIQVLM5moE0dSvHeCjAEjli9Br3ZRWK5NiFSxTmVyvb2nd++33n9kvNw4YC5/bO/HTvmOgnm
pyWn+rfFWdMwelukPXRjQ8Vx/YhuH0wonIPQaC2GiyoCt3dFcDsHru/v52YLlEzWS3ZfRJYu21vU
j74IVhqsAGHqrlk/eiwpTwg19Zy5bg/6RLFtEsv4xAdFWhHAc/TGtr01zcZYfJe0SD8pKElkMZqG
Seklsb6JG+RFz4bUoTU0OTZASvwebKZHgDqs6sRt9fYZaUNd7R//vF1/u+Z2Ui4u6zzIpBCOJSi7
35c/r//jRrcHuV2mSmXtdL07/36ehZUhKAncNYtiPDnaWOwmpUNSz0awCmCV/P2EduE2rEbjoBUH
Cz/1UV+vv50Y68rrdq5FQLdqEbh8u+fnbfAqc81fbv55m8aiowrdhISrf4Y1LX3CmHq7/DuyqVqX
u//2+tmKsHxIJwXT+i+3ud36/+J/t5v8fpbbXcJk/BG5UUM8xr8ESH2+VbLYzY2YC4oE6wdx+7Q+
3+5fLt7eaKbszeWxWyekzxM8G4zc//wfrQYZhOuMonXhzmgmiwN2nVrkbTb7vOHtHAkczGuf9/m8
+vfDJnjOD3/5p40shBH3X5/2dpv/8n8Wa/gtFaEdzi967mizg9tJFzU81F/P3i4DKvz7jf56dWuu
YRf/9fV/POhfb/rH5d9n/3jsSZ/41Sk99oT1qf+P6283XRIpj63244/n+Pdn//0zfb7obNae6T+m
uz9ewe3s503+eIjbNX+9fPvnH3f/ff0fL8fI9wKsaEColv7HSf7PiwWaGIEdHl4/t/j8/+cdUKSG
frVgo/jnnULR6YFu4gMCK8zZ2zV97mi/z8mZHWJBRB5L1eB2Ms1kJtC5bIIM0hmgifXs7Z+3q/Ou
Yjf8ecvbuTiPNW/OCQlLP6+2+nWzfLv+j4fTy6IN9LFac7PWs7frfz/T7XLaLM9L5eZQtXqX2tD6
um53v5374zE/X9Ln1XzdV0Uru51WTEDDGv319lv5/EXcLgpQMivU6TbaDGml+p+3UovK9sKEVQjT
aRmMQ8N2OL6tgMZ1rfN5gvIPUFnZA52aasFU5GodYJLu7yfKsCCnvV2G72SSX7Re5f5sejOhTr3u
Z/P1wBXr8gyhC7Fy/7xYTHi8AoDQiMCUvg1aJ/5gsUMFYUb/7CATmnvxgw4qgpK1eScjz9SeokI2
geyHdzveFKeknemOawIjn3D9294642Fo+LkduqZmfXe37fvnyW2HvyRN7CPfyPCFlOlJ7dEvkF97
6OLMCCyDydzqbNyPwIUVtd+PwnrJeS+mOZ1a0e1UlUUYB4zWFKjfLIjkionGKLt87l1vpYjbLraY
zNGvLarl7jhowf8v2JVd0s3/Y8HO0sBq/jcFO9l08f/afiUdPim//mvR7nbXf8iOzb8JqCo20UKm
reuWSWVu/Nl2//kfiiMov2nU8UCoW8IRBpW5fxTtrL9xYGoGxyOkMe7Gvf5RtDP+xk01x9XpY6tw
yI3/l6KdoekrOlfmZC+Wxx//+R/QBIFIGIZrm1gLKTHaxr+ide1sqklBAXKVqKbYW1P1YjrQn9V0
8MtK7x9TKFKPUToGJXXyvdpFmgdJwriWfUEMZ7H0gVlUICdK60oZzvVxs5a7hI4SuDnkGOMizAdC
Qp2oGh6sPtpFVAifpEI0W56MwPf7qnozmrOrZdssUZePsMc6U7pjfa93ZXXKqPNQ1G9n2Ema/Vi7
gH7QehZPdkaQS2RF21kLjaujK6BCdWJ4TJm4J2xTPWJ/NNI60VHYqYEIyLmdvneucgYLrvDKYWuK
0soPyxQSb6fN47vaNF5IofxL4mA9w7/vV00OAKiw5Ns8r+ESsY3mLl/Hmqh/mVhAbWJlrs49zMuX
FqvmRiLk8CoHywd43viljHIPJxMclqU4sS+7n5fHOYzFcXDqr67tliQD0mmsJ8RjiencpdYS78Es
IUbwK9lp9wZ1fJdOmm+TcV0vxXDnFsRFZfOpDXUv5MN6VWHt5Xgnj6m7PEsLr6pi0l2mgvxTGR1f
Sp5ObZeW2EmsJxRjR6KXPdS18aFcxit8GbK39SfC6QiEF8WODKl2p4hWkkBzR36x+wrv/BGsYPkQ
9dN7OBYYPCbKVHORjvhQenlA+zdGhGeMKNZdpoUJFNuDmIZr2QzaPRBYaNpFHu8JLlp0605xcvJD
strvJCZwOjvFYe4cPWht7Gq9aNLXkL4QJZjygUhh2hO1JtkP/uB3VB+ytBAHe7bUCyrvHB6X8dxm
aEp9G7+NE7cXRy90gsPC6ugiVMQUphNYoncAQvhydp0b7wWkrJ3FpHjMp1pZQ6yUTVnMeIRoSB26
DGqnUpmQG0flF/jRb5Wizoc5qo1Hlc3eEBpomkr3zuzd6jjxoNDH6JF2qhUFoILIy03qHOMWMisF
WB4hhQ5IocE1HoyKFAR3KFr2XPlHY6gZxjVO7KU7Qf1JDnHZ08/Oco77GEtvawQIviSwk+uS2/rZ
IfDmjL2BTMgcIyMkjacsqXYJR1bghGhCx3QOHBGC8DAUyqSO9TgZ84yFmz6mtZblmwIDFi8j912y
SAAytuOmQuP3ANmVYBTFRuA3qHz9qPBumRPxgnitk/NrOeuKN/CRb+1kqfdpuH6nI83WkHKeXhgU
+2dC4WwIp1qV9pvncSr7E2Syb0bY5cemhptmgv8oMeR4Um2ctRe+RwnbHOblipruBKfAfrDVgp26
tr59gu42pSGbA4CyBaiM0+3R08HJCUlbkaUlvFarCAUaMueUjNmbGovmwZX6E6D4IAkN46xD/YuV
UJ7ycU2IBzo1WJF8L6RGMH1bgiJyzDO/nTezixJGLqQoWr48LpM+H1dP+twkdDHDKsa3bcR+XMqc
jX1o0SmGNZOmsU33dVg26kzOOGHm/NAEw0QjK8sjQFW/N5KkPqdGjFC7hE9EG56IjTRQ4aZOL4pL
ap5I+jMWUG1DposDugVYr2p0QewAQDRdVPBTiYIU86mtSai84zQE6uK+Oy7gyaW0cR+aBRlxhPxa
ItzVjiK/JCmRGaq962ujOkeIOu6BgE2ATrVim9tVfEc0PPHrJLRsBdjWLfJXHMZK0V9As+mPJLBd
dKJfL9DFHpclU7YNRkQGcAubNE2Uwqntb+MQ+zUJNVGVvkYjEhYHb5xfenJI0+PchuZaF0qOA5AT
ry3o2uZNQkh2TDJboispoWDKN/IPxqc01C+ShAoBDPtsqdbqUmmkzzwk76wGodTcv6kzI7/2U7Vj
/VJx9Puxim2ldU2UbGslIJqGHuX9om+jvqFBN4gwQDy4FbX9FWmF+2oAs74XUI+ajG7EVIWkn6X4
58aU6FKrUPTdTAUMaQJpHEAMH5bYkR+pOYoL7YQXQEWnAqXmi7R9JIkCXJG98tZTMn66/leauP1O
UXVQVa2M70jsYPJQVxx9JuZT7WTvecLCMpmUEwQZzP959tzM36shvPSx7rxghXkv7P5UVXbqLZlF
1qY+greNocVAz1z8orCZaZe6ucdgHEQzutBlnD8wWH7MFrcciiJGW1u7R4Bt7jaKZtwc0FoPLke8
10FGfISyZwjjRwRn5bWOCFNc1OghcYiB71nQPqUzqKNxTq6TmtX7suGvTJVzERuAII3Q0yp3OIlW
h7ZTl+9hbNYEnBRUi7MY5KCzFPtpUYA1hFW/sxp0WlasH7DFy+c+741t2RbTHtiQe3GM4aDiuNrZ
Ddo3czDVO7cGMCuVzoGaZI0+DpTlGJGZ6TkxpIoGxvE95iFxzqT1oWsqgAlLf8H2MSG80R6WBNI4
LFXzirRERHgPLXTDQRdqRJuaRJsxUyPszBXXQ9b4S5/nr6BytddZO6lD6b6S1XdlYfR1KeNyW88t
oa5Z+xINLqqmji7D3VIryI2JJ18j4KQyvldtoGiG61l1hfXarbKzLrTT74nEntNjDGl3O6c2Bb6a
RlbTMif2PZrBvOg02NqYduKViOLmBOAt+le9Vs3HbFS1Y67Wxp2eGTCeambqWCCAJ9fIOTRdjyNf
i+WzTFIKZA7TOkhUlAsSGSPwa3lqsC0d0Y9omz6bA6AIzoGfO+iB8buVX6n/hSdYI+m+0xxSButM
u2Z55Nnd4J6Mmu4ZmH62/2MT2MYl6oV6xZE1gVk+CS0JmpkKQJV1qMIliQAwS3Y3KAhE9vaxdcOT
ywB0h8oHSzgSlH3btNYdTcfAqsnHSAn5RcmT/6yXmlUBvqZtP0K05sgG4zxdIxW1S6uYz40GtKeD
PV6iwdk5XbRXbAmBMv3IDbU8Qun60aim9Es3xOrUaVtEkumZ4Id+g5KvgiFI7jGQJ7ATg5MTYJIR
wJRFpHMIy9np6rKtxoh8pkxX7xPSM8h+a8pDPE/qjm/a8In1xRUOIr6Wfeujm4+O45Jq28VxvUE6
/WWwehaP6XiHZAOF24jMpW1M4Qmnxrgw6PGdZcqfqNzDnURWbcVIOlshymM7Os2DoShvo4zXpuVT
ZyvyiVbnuozIVAkRW7umRant1LqGu5P15ftQ+0g0IyjIKJ6z73bKskPoLbqoyj47rAu9KqoaoihB
ldnul9K8KrEYLyi1vsIN7PfFclCdGuGRlraPGLc3E9jUk5Pn4Ics7Q7ufge27JQP8y8DMdNdF6LK
LqOFScEmU8lNwBunMEdPnVZ5fRLOfqkRG9s1afeA/2GaxBj5Udo/sGYt7go+xa1l4xQWIsoP+OgJ
ilpxh4MRaTvctK+F3uJSy+ByFNJcqP9hlJkGtTtlYLIGA9aCyGV0mJ35RQDS2UMMeLaVJjl0Ne5u
Mx0vMWu3Tdksx7LqQ5Sw/OY7XpGlK89pH+ih07xjdOYRPBBW9aUSpW9E46OLH+KYgZLtU3lQMxEC
Up7VwCTUdF1h16mlwfroUYE2gFlDa5iuBQCiGGBS1psVAcEFc2e1XDMM2moSz2eZNBuozNODXHO2
jUQ74i4xSBJ1fbiJ2NiUFRgzkioDyUDdxXn5A6qPRf6VkRDvO9PRmEG+xZ0t7jvyDJntrGXPrgtd
kWJgZIwVewdoR27TdUZps+GtaFJxvC2GeL00KCZynLvqqU36at0F6BcQsmQGLe6dnWH6x1WZ7Bu9
wq+A0i3RknRHzPZjtmb7cH2Qk5/hWZkEUJbp5O2aS+OjNgQLKWagsOuibLRHZBsxtcvQ0usNIXDk
vY3FByWYYtMoZX5HIHZ9HEq19Gxl1UWiDyvZE/muPQOKs+rZd3XXgN0IetYawDjDB9omEwlFjQFz
wQLaSVYc4yHdNR/UnhwJjp21e5Aom9uVxDjHvCySGopq3pch5hLXLK6Rq/DbZTjGfdYdZUQC8TyQ
lliz2N718ABYYtQ5q0r3qBgsfPuENbXSGFtIPxKtN0dlTVjaPjb0A124c+lir+WRkcKqg+/MTunL
/mPQWWGRxUl8lKn6SLF/2Q5Yw9ZlTs07wtN0+IXCqIaNXUFuJMBO2ZbCwuzUGmsyKTFjQGAaj+me
7hkUzdwdCJGe0Z/Cqr+XlYYMm7BOot0VjBLMmLWXR+l7mmFwCVsYSbdhgK/Ob/PX1KqXS7vopkd3
qzniQN9C8k/ZQY0jcAdNeLoe3btjWT5rVfnuNqyAgaseIhaMiPIZ68N5ik9imp4K1Rr2slOBPpBS
zuaKmQ5qiKfmFfHqffK8tNlMaCUJJaYNhxCsIwbGJ3K2CN6s6HFUWY9LtLGIjrTCZm8ryrDP0/nN
RUl7H3ZYFHKcILRHOCwbXW40sGYBgupzNVdvCdJdDr+yRzIJBb8q5y9tMSzbQczyhJzS2jktudbj
EvKFYpbsXTjcg2slXtYv7W5wrDN24DIwR8kPJURDkFtpFIgpOyHiqI9abf4g1XLwpxCLF0AvkAsJ
bqwpChH71K3hEfab8SV5tw134hB6GXbF0zxnfOKD9kuyfvGHNE79OBq+z2bF150TNl0LB9btihJp
QfS6Re2At4B/q4781JIC2ek4K+jya1v1qmxNRM7I1JFxsSZ2I8yOG+fQtlV5EJobe4mton+udBZ2
moXfLQHYJKgN2qxWBHiinSagImwAWiW4KkO1lr4+Rvgywq45WHtXa7GTZUz3HeP2DhPyV8ucv7cL
enKDoJl2cs/VgM9ClqV7rkPlWE1Ze0CwbXi9bUxXTZ8svsN5PM2kXkGJZBCukFKV+hKep3D4YOfK
DfIBBK7TvWFOtI6VbnYPBCaRQLtnFu8uIfPRXlDK8epqRaw47h5qEyZO924ZBxtmLr9F0+zyndpk
sJJQ66KeW346WKi9qZ5SluJswtLZuYMGpD1bEVRncvHyfWKv6Gz2pswe5TUOm6Nh6t0FTYPcDF0U
7y3wSK5TtMemvJ+kLu506JbHpISlTOoFEZqoO2EnzUvraxj5V2llsi/CFE6IgOmTtXD/Z7PU7tWu
2ikuzNIiDl9jrd33apXtotQlMtpgtYPUBzvJcrcAIkmyKrtnR9DtCaACHJtHKiwxIFndTNieZejq
VlunwKnR1bvQTV+sppvusNtPw0xa5NzgX+3mU5GPsBPD9tnC8d0CELZj1zyz79inuDYeukm9Vrmy
1nPIA2PRpVoOivAoxOGKosp3Y1LJ3TSr3yQ5XFoIfa9HrVKHJjHtLQbJpIHEB86IPn48HpXFedQA
7jxI52Noezaso3yotGKntZ3ry4VMASLvnaOGy7vpCZ+A9XOY4b5sC92adllFkcoWCtkXZFrO2rln
O3xG/v+ed0r7iiyAgkH5rVOU5EnkyXuYDsUpCuOP24yVwo8L25JYdK0ud3IhT4lCDDkLzVOcMb4Y
jXHO6GBuYghEewY5LKoA16LqEchg/hqTcwvRG+Sgy3trZrTPAN+LZNAvyPmxCALH2ksO8g7ob0xL
X7YHx9W05wUXCxsR9QCPNl/n6ntcl1TwIYuxaxbJ0U0J7jZodB+TeW9PrPeiUZsPY4gPC4MvkYMp
dPFMi35Ziz0/5Ll1UA2lvYKPJHT5WhDk8iVFO+10KbUj4pB2zpRTmxLyhI/kVyoa9YwXxjeLmOx1
SrxH4hoI+J10ihitGt9bPpHmzrGecIWAFWnDeo/dBStEsmSnZMKnj4y420VTbZ9LKZUDxs0n6Y68
/iZTj0PRHEzCiPdDDIEszVLpiTlOzvlo6vtqbSZEONS27iTEt36INrU4VubYvmstQCiNquaGkfwC
AiImOiJkid/angP7+qzKH87U7aepnrdN2wEbV90v8Rpz7lCfwbtHKSBidntoC+2qrhw0o2c3w8pm
fKg/HLEA/TdACDXIKrGwkUQLcuoax7GXtupbPHTGB3zIMFT6U2KYiCut8GjpSKFTJw94M+PFasWR
Qi4CbizcB2i4ILZKRYG3rVCMKdRHJTXRBSb2gDAQdEs+Us01nOypxIvlLiVqAbOafOhFMJLWYq0x
tlczaShmwphgTRvb/pKSWisF4ZrETL222eNkzQulFOu7bsQjhAa7vAgB67wfn5Mosy9iPEbU0O9c
5mVdG8MDKhvC9rCrsPjGW7tYCnbXYsJw7zjhnsL5qpaxeZI074MpRLQQjRkueFLsDonC2rrE/LpG
4TrbahjDjd610Q77tbbmCruvA7YNcBB2sVcSRB0U9FfeglLs6qYBrJZId2/zU18IXqYIFD9gwLkC
bYJZZIn7fuqHVzqOy5H5+X4UzvcBDc9TlmruUyWoEEzUJhzxQPrCvNU0BRpqr0AGKayjgpuA3NKw
fopNdGks7s5jlL21OdtehssEJkDtPlIf2cpJZgjGpwIrKKH3ETQ4wkWNQwmsXaFBEMwaBETFINE1
qYu9M+pAlCPqhb1FJGmXvFk2Xq2sea3N78OA2+/GasXI8gviWErJkvKHE7Fyjif3CDGqDmRV39+4
wpTucgLG5ZOFC3LP6ms65rO4Z6kTHSM1iw9ujMkxHmR7F+YKahiJBz2sdeuIvcyFxaUFZiQbasHN
6u1KmwP+98axS9ZHzBWpTi+iLdtvQwUWbKwwwQyz9jAVEFUdpfzqKBA7lizaJyhvmXHIH1cYkm9K
pm6y50PekGqeMx9ZFkWFyB73aWTf22rdBkOzxfdtkEBB2TjLr8qy+lPdKdDWE/XHKhhpi2w+3FQR
0FyfVEoouy4MP5SadqyQDJM9Jn4W9zif8S/tFG6klKkaOH18mAtH3UIjAuwxqBdWIMbupj+yWwH6
qFeaLToZiSsRT13H9EXeMZZZqlebJHVZ+Vv9pYdwepxiwGCpO1M2SnyiZ8egj6IxmMBZO3xs1G7X
3OkmfmBb4TU1/iqjEPeYys01vvS+hR63H5f6UZCBeWJjh+IPla5/e53ZYC28X+J/jLyDXGnw+bvy
xe4liWMoCTExeBBaJkICFQZXSYtWS0zpRaoRb7/f1Ek3xVY6L+O+mKHVrHEpvzNTWK5n0laPpPSw
iByz1i8iH59juMOm8yab/EclZcJYBFJilViVuLcCA9acLfvF76OegADYHNRpIN3GHSDobLb341R/
n3CDtzSOpJLdpY37ZQnfSR4pAn0h90JCx7llvtgKwS/RqouDaaV7NwmLqoDGogTWe2IVu91OKPl2
KO4WfitwUgNBjMo+7Ie7bNWjzZM++jIev3Wxi7JLz55s1kFblnu42ee1LyHkUajONiqJa8ujgR2h
pvFNl9m1nMHPW0lpevi7N6tIjOqg3KGGQgKw8nedyUCRD34OfVRJag6brM2kZ6OfEAq6w+P0DRfz
DymWPQzQ5yXNf4bY5lU5RDRvaGQwS1ocK0QdI47TjCjeYad7DdHuBLpo5GYe5g8zpkhZuR6rwHwP
7eWhnRztCOxuA72PLK24UIJZJbwnjKaWshtfRF2SDLEID7IhKYSr4M+ZHpDPMQVK83zT/FkihTzU
hic5YmPR0mrZU5/g4ImiV6Cb+gt4HBjLmX0wGQSOdm33u6iS4cqwfiFM2vBuPZIFUdDJKNfnur/T
iBe5R82efcFW6qUKqw/TbvEVa+ZzrEw6oSG2Eajl/KqPk+WrCU7eCQsEbYxonykQNMw+Eu+zpcfs
HoNIC4VnZFS5qVjN6raifcJeBnetiN2OgwCnlWZOhd9LyMe4kG7yvN9CvRbWD1vN6+/jEkUwI6ix
ZqZZLyKBKz/jA3Z/mN1rk8RXWHIhdub6q41zgMqF24OBtS5OgeWLyIhfkzp7wu1mz1IIoFRclXxk
4RwpC0NTbTuMclnY0dcRxqEqbT1QuHOs47ETAPbpCEDAYzLeGolkUcRBiVOAGuLO6tm3f2eZ4loG
PEUAqIki7sZcXKk4/lYdKsL96ujVh5oQ21WWpyFjAWzBmnxYoumDdjRDgV2xwRmHd6Ws3trvTnxf
aFYPZeJObQn/GPp1U62/NGr7JGwrUEbKMvNwhQnnFfrkEW7HlohakNX3nqr1YJQL9yVDchEqzgsu
iiGwY80fjTQ7mC5KsQkJ3mFcwLVNZHnWBhmPZR8USLuD2VpjJGANauQdEyJGhawG5lxS0abJvLW6
pN04d2PHdrDWZrDws3x0MjAWOp2kwjP1woURBeCiAPgHio7aXZxRfY+umV5TjSiB5IKMuxfoFYE3
DXPyFFF+YvkSCbJviPyD1+PFxkDrGMf0WtJQAxtvM+bKAjf/9CNdvSBAXeLOc6BjM/6UvPs48qrZ
KI7NIg5xY7r7iA0RXoXxYMyIqGPEJtqqQoT0iAgzFUFfwxQ3U1052IqxjfR8Z2H0Ogwj83ZV12yT
DPcH5pvW16OFNXOho2m0KX1RH9gqVsqm0nXPhFe8syCOvCmsLw4DRtBXDnK2ycTU1kTqylBqkZvO
X+hMsMVI8aCYc8RvI1TTEz2UyG+lCma0GNGTVnWBgFm9G0IQuKwnqeH16j4yJF4acuHghka7yUbZ
Yk3TW6G5eDqc+bVa7xZGLRNezbfTKo+sEIAV5+FFZfz5lNtW69guVs9KajoPtRqfJh0oox4SN9Os
zhagG0/glBliQ4MFsUR/BZXKZ6yr2avo7AvzIZB0qNdXW4d87nG08NMuiwuqhRr6H4s+2Uf3KqSG
0I2CSvSXqiOJzsr4oWdyhS9XOOzpo3Vlw6Z5naXXV347N+ZfhwRso41zfQuQ6Z0GJlbCsnidHvHm
IOpEily19W5m4VuxnKE86xCuV7b7nDxDBNKE6NlX5is0sN1Kk0zFjk3pEphqTxNA03ByFvbZnUhz
G9LhTbeLr31kTdsEt+BWQWrGHk8X7JCNb+66OjGxgTI8GyVNNZJWPIXlaUAQoROE9lAeG3Ttggw9
iPjjq2kyZzCcgwgJM+rxLpE5DcRMgkBr4eckM2/NPI283A2ZunIwPTGpMUGu6b9qYcK5oI45Lcb+
Nm9TwOqPSvvVUJVnrF4X2DKR7xjhKYqsQ62Ja4sOZ2+3dritCByiWkYXwR7mS9/m0x4sxaRaNCcr
a49L+nUe0ojDu7nPuulkUBE6CTX2Z6MRV6MpajoSWMEKa7rjm+wQAozP0TBeWNk+sltzPMdsGr9w
LWULM+2XqTFAsFf2cL8Bal3yN4dfUt1j5w+H+TyK6tC9ZUi8jks72yuTkm8uGkpfqD9BabB6kkm7
ZaQL9+TPpf4Yhk8NW8BN5rTNhYpog1KOMdk5hGj3Nm5eTai8p32eY99EFZd7MPtheT7XKeyrMo4f
GSdCyoqUMUw622j/tUpjZNRA5vUrJqeFYZt2YH0p3hYPslAxPVvKvjHqcG9mLXmhGmAMKnawtwEn
9IWpHlWnJduipVxQOF+S3MmOqsYixp4vAy2RU5MAVClR3PTJeOkiRAAsTPKm/xqm5TeVr3hjOfO8
NbUeuk1D/3kc6o/S0j8UeE1GZ57UyiBCPP1WakhY5NyhFkDIfZzMbFWMaO22ZGe9LUmkUoarxIjG
jkdjltykrjrsBO4tQj/p7brZpDAZ4Dlj5fzqjmI+aP0PVVMOraaHZNyghakhg7p4pdOUD49I3Wav
wfHZRHX6bNOwPbRzf8iGUEOH+DOUIeGSpP2Y7CW3jQXRy5W/Ghnm7y5BYlVbHPU2zj7cfe3mEfpD
4lZh54ndYpg/3aq1/LQF3NZhZQ+L8JTEKZFby+QQxFYdDWhbPm8g2qkWBTJh4g0hrcWjAZqtgINy
IyZ1wldmvXIQbMVCQShuKxLWV2EA6SaACyxmuuKSjHl00LurOiDdgWS7nTMAhclqA6fqrEZfDRas
azvlu4UT3lO5MKbwhUk+3ucd1N8h7Ck1qgDwlGjkB14cXdMa6RCRsBvOY0Sl6alBeH9EgjVvUTK0
96AEHiK73VWZDlFA+0H53nxwertgK3XuFq3zhqiCq5BQrutbiu55ftHYYJuFZXltFAFSG9KDIysA
/wLRRX+scvVH2GCkiIwp3SeuiyZJlcDjzHIfUhhitGKVgk0gX84O3j/y2AffXubTNGFLEDbM9qaB
CAKA6WAIZGO6WANswhIolLVsO9PuDrph/xzOiz8l1P+aAojSLOAPSyulWb54k6/SQNuFqfjQm2fD
NhoIDWgUkikVa/8K5Q/qD19tLShQFLmkgcwlKx8RVzg7O8sbGspIGArnkAmF6SjzKT6ygzIXuHRy
Yhvf03TsCNDQVTgwWSlOk7ru1lDogExI7Tw6Wap8tyfLKxDibhgF7RqyEmvqmF2HDoTOYNBQsF1s
SGf45o4NkPv1hZkVsa/1PN/pZSgOSVvXwIX0Hw714Fo9KeZU+lGcPedVrZ1miT+lBqVsD9maB8Ii
mWkO1Dw85LiBWwY9Km16r4zqK7s8Jmk1r7dVsviaAPeU9PNR5OiAmlbzTYVEn2Istwk8GCwYqWck
wze7AfvfQaWizO9VVXoMLxiNyX8waBtRd9zmbn9UAXo5YkJRS9itNavZoetLMhRzfZeGI91DE1SH
MNod8lt6ndp4VZrIBS+U7qvMDGiMkisfVvtUKNo+1Moj2N5qi84SiLtNnHzUat9p/cIqqABntCmo
u0WfHtQ0hfpwZYfTBGaygP7Vk51wlo86Afknw7qj6DW9W/IcuW1D/0Z8y0foGs5oq7s+4XdeyOEL
4p9i7dGF+EbdE41gZZ83he9wl13uTFcofz0rvQkZ0vooo6WKXS3hrQhUTp3MbUpBx9RQqkerKB/S
vCN5QTctT4TzL6nGa7CPdQYJCJitpx3BXhWiaszEm0mx06P4kgGXD8NOHHrkeUU+3EWlo20MYnVx
IgniNoCHq4qk0UzfwosW5l8KKZtqLPxIib40+mNJbu9LVQA/SHwxsrQedV3bJakkxMlmLjILlVqv
PaqbSXXv0I0ZHj3xyS+gyQyl9V7mM3DQtkfoQgRqkbK5N3WwBm1Cd7dYj4bWpguPk8aErtSQ5uOr
avrcW9qbQ/sIKhH1FWSijiZjfnMvOTrEHRKNiDEhdxGRGS3RF058ok11HhEeYn+1kp2rayfHCt9i
ErW9viOeLpqSkyVQ0xdmfFir+B10Ir/oI4P0PWQUCnHDZBltinmUjA8xQfDq8FBX+SW0p3an/W/2
zmQ5ciTdzq8i01q4Bne4Y7gmacGY52CQyUzmBpZTYZ5nPL0+sNq6q+q2uvUA2oQls8jKiGDA8Q/n
fEfwsXFV7SPuq4xtlUXHrB7Ca11O7/F17NQPK+Vyncr8U9lWbHl7wNhQ1rahVz1lYQphZRbLGJJk
XRJgN3nfck2gBuvBQmB4DawYnsmpZRUfSe7LHqsw6vnoDaBuTOEhgyXd7GCbGpdcvlyJIzU0Zx+m
jg//dgX8piUc+pPrOO0CaCmPzlJdfzz8/uWSpWdPpAbrCHONMVUAYPCqDVkWYB5aBgsfD+Lvf/p/
/TuSbLOnlsYTpLZahy6DWxBH+BZjgqXNkT4Tk5fYurX7YtISJoU/oTZqQX4CWo3jdjh+/Cn8+58+
vvxnf/fxLf/4iX/2LUoR/Mq0p1s3ikgWK6qwbTd1eAu92N0EAlCqWbQo8yZ/XhtAf5Nwjjd5WH9S
g/oZdEF9i+Jo2Pg2UZaqck8k7jAdsc18q5AjA2FVPxV84KcWzAm1Ehqi8ujKnoHgxNq1a5kWDn18
5pO344iV23GiJuk88hMGA0ZXmCkCTyYSx2TLppIxB7wX7k1ddAr471OI7hgdy6qb9wzb/K9EVwjv
osiCiiDqFSbHXNdMGqBVu9PKA88vvgWx1a0nvwnWJHJpQ8SckhYwWHpChu/iSELzu8vRcfDtdT5a
X0vp36fAd3YOLfyyxDa64bssbQHNuYXPzBLUdpgLTQOZY+Gt9mKLmSG4yr5HUSTJFJFLRWn7xluX
/Wbiy38ZxHsrpl/2EIVr/GSfggp4SkKkl9W05bFISHDpSFx+mmupyOnaEWWmQJrS2Q9j8XOe4gu1
C7dBs3lDD81ceuYomNz0SrlANBfCy1A44FxF98h8EreMByoia82L+jTUNgjIKOI7zHolZfSjYUDx
FE8RvBePCGRZu6+5QUhgO4A6IsilXdEv36w5e3e74WXMKBxMHVHxZDDhixLYmSJy2IU5uovmWR8t
q9LHfjFOqsJ9xSHSUfPS0Y0ZSayMi+AzjZO7Jbbkmnadcaw8h5Cbzh5YDP8kitVn3b5kGC9Wz2KM
GWQ9B0xgKwcKQTHeJLvqJw5NSD8pN5p1lCUh+BsPAuKYPc9T9xJ6bsN6XfbQe535yRCjc7QzqC/u
lFWbRi9Biaxbkohx6uClOxhHNs+OWXqWLflzBLh6njy4hKSdJnJX2yQbAC3R4/VFmbA/aH1gdGgl
vIL3QgSZPCln/kyj+DS3+H8Cbwj3pV8fyzJB8z2K/cfrF/XNgmS1Nke4pj5W3Hmy6byzz06S3PVo
3eMB3Vv4pnxUQK6JxcdnvYgOXz9AyCEGYPz08T/y9NmyeU3GwMg5tI1ty8ygD2t7j25jAuHILBYm
GBBl0gkwzMhdNnrDvgr7ft9Pemdpc2JpJdmqF6eEZA8rvcZ5fIQ3zr/bM9PHVBs49srQ/tGpDD44
1MNoXOn+E29LkfcOMf3WKYg+mQvefyop39IEPF90cbX43I4k2Vqe/60pxdmKbThozvuck6lTk/Ye
jcXeGfx3yw+JYhVx99Jb4ZMJGurYhcQu4Y1WylJIngl6aTr/i6g6c+tYMcP9aHpPynJi4888qscX
tvFjuCeuGZovha4Iv3J2NdGwD4xYxEyD54mHdDckKnrkIZutbk7fHNfxLkZKvU77sHHYSLGaduNb
lsR70yB0kKSi8BK3tncY88jceRlTl0Gdi9Ez9l1Us3GEg+xjdEDjHd5EJ2hnvtkyhQI/f8vRF02V
8xgZ5QRsHEtEHdtmCp/TpYsaHGBfcka34LJ5YO9IDG46vLopc460ix24kGwditL7HuM+QM3VQQBx
0+kol49fqxnVew1vO6TBZsV6+RRKnMYBZqeVSUW6RDsSDZQ31zAgEoM68XNcAuD2hphcTdavoJBb
7mLZFMycfpLzT9gA1wJ0wJ3N1oEYvhTzygp7mkdLo4ljQjPDbmd47wlvOFrdCB1mefBKgjsHydyg
jOpLLvp+J9hEuBaioLQ65OkcH/1WmqwRyude6EO7LDQ+HroSgYo2DRInXf9tTEb7Cd8BbBIdEVTX
jz8zs3BWrofUuermEyVTAWGzhSu6VjIAfkihiHOCbCIG1kd7cX6r5WEugOCRKw8HbGEACBm9zSXf
mzWAoGJbdicJI3bO6p8yIvTv4wdRANBYLWeabcrfAPq0xJeqNwVrMuKjsfcqi51nX19c9E3vZckG
r0Rolvvj53rZYBdukqzNIfmJXCo89G5p3nris9ZOpxgGRsDw1Dqb/eiOyLhdjQaxdqaTqO3Q2A13
zZE9gAm2FMZ2t2YcF55m47eJeT2dhDrZTWTfvJaVdj6L+pcLaH6Vamj8aiBXXlpfho5FsWkixtID
ySGJqs7Mz1MwY2lOXdZdMp597eXFw3f0d5DbL+C25nejKE6eM4y/Miu6ePdBz+F7nbHTxvgWscEp
USe75HGytXuT4bSKZz1s+5gJ/oRlYIY5s/JkGX2RnfduDbr+OTWfHbBcaW7eg1bZdEuDXqvc+s13
EKPGoPzJ73bjDdZ5esMcwZaFF2UtwiBk5u3/SmaFjrqdV4vx74nI2/xCKjKiPjF7L84iASepyf0q
hkNbNvfW1A+7iqCX1UECl9Hduln1iRkVi6t0cQvAhEcZ903HdzVG4WteC8boEQAFlvpcGZxsThV/
k2kdnIhHyc5ta3VbquzyoANEJUlRvBRo5EqfxPHQbUza2eoxIBtVntX/cFt34Fbi1a9lCAiCyvZJ
5w976tqzL+ZNNQkIR5Hw0Qog7JqqMsABIzBF8Xu0Q6c8BFAmezn98qz0nAfxriBA+DcJlN+tkXzT
vNvbaOCN8jpL3zpXiANHYQcHuY5f8HzR5+Jp+qWDvZhBcs9UuGsnmLtTEGocM5241xqp9lizVnRs
+yy7YjcVQ3XpQ6BzHUyyXSJDRsCM2y6ubT63yKWRLzf5JagStqsxw9S+NgGOp514bySIniiRztFZ
1hQfDxk94TH5PIRtecmTuLxkdWRv3JLp6u9fMsjfgXKDIkutMsEeuLtt+CWc8HhlLhuerpSP2PX1
2vJ69FQVKbKpUS02EY90urBdkWPrcN6NyUaPLbgE324PrdN8cZw5OQd6ec9LJjcqEepcJcYn3Ulv
wxwg37Thb8Kxl1vk9MY6iLhoSG2kxKGW1qyDCa0w+PWgcmzKBJFrOoO80v61Rw9gpcMxCqfk7r4M
doKESOfA7YoOgYQ3Epiai00zIMfEvEFJLBWzpBLTTMFhvDey3N18BJz+wef4txCa/4Z5716Ab2pw
CC4Yr78YBjV+RoltkFR4tQDFyh/fHhHjwf/138X/6EI/jco2ive2bDDxzI289K0JMKL1nnm7toRq
RMdEWcChmNtsbAXk0TXZ/M85phRKKcTs6RSlKFrit77BRF0Qq3WMksjYI1/JiDm34RgOpfU3K5SV
hnJV1GQ4BWWzh+obHydKeBQDqf3aph6hH14nTlaCDr8QxFgGwoSg36JtkaX/nubWcCHnLz7IzrqV
/hxc/vHgZnmzT4PulSBP9lqKOqlHAUdGNAGDc0esXGmKR+d4/upfv42KWJm/vo2uJdh3KceFbCuX
QJg/vI3Eewt2DGSRtoPzs+wD8d7Vcb9KrJigX9IKmHD00Zf5Szk1aH6clDhEMVoP1I4aOUhaHDqV
Wg/2r83NUfMWzQIGFpVhf2HY/cKFixmng407NcYh8UifZCR3H5PYJogkbTaFbf9IRQ2TWUThs8SG
iOQi/JrWKZqicc7eBAHea1WAEOWIdlbIP/2rI7qDC8f/hCT03kp8eqqpDkAl0QIwi3lzFfvzf/0+
Wdhu//o+eZZLCShtbLKOs/hX//A+EcbmFyG6gD1U4/WYZz3krWZXDgUvN5YTpaSOSXSr2lNvImUN
e8LspbkbrC46MB6++rlnnkM2FM6U1vsPA1us22qvA5jZGfvG1U9dZsHN3VTjPH3Kxug6mtm49hO0
jIafvRtx3L8Ygzqh4fnXr41/95++OJsXaCMXFuovyLwclnWX9zOydztND8hLGZ9uh8KKvoYluRIq
KCouJX4RbK/U1qqa8ak0IuO7C7PW7wuK4Dot9yrW6SYHp3Zif9oDs+/MT7VHhppTZ4y6+VgBUCHC
htFVcwssEu3/8adEh1dHWu116kinN2TS/ug5Im1zyj/bxMFv3R3in/GIK1dc56LJ10FgOu9+mR0y
xTYuH803s43fI9lHn6huul2KA2avoMk9UoTgT2iREGIOk41E3SApsrJfsEqALY0jtSF1c1oVhQdT
lr3Jfkrtg22tIRWKkwzvtSuJsAyE+8JND3wCG4KhSsNz6QHbpZnlQPDxUtYxQUZNlX/uG7v/1bPs
AtLwtegmsu5tpKBSP9oeHQPhv9WT0K16AY3AeBqq9tGloSYuAiNpViHnc7re/lKNxU3Us/7F0bpn
+umfbHvEUBv5YLU7N3iNfZXCyNL2FZsdjgsj22O6jLhPMIMMt9y3a2irWFSGbTOXzTu2N4TjzYFr
F//u4LVnGeNyUT23o6Euv+SODX4JkQJaLHWMQ53tW6uedrpFitnHEgB60RKCR5kR+oV4/9efQuu/
nkTacYR2LE+aBLX+9QpjwRMZFp7cvcfAdG8iXbYYbV6c/nPay3vkQApTQW1vGCbKU0oWJyO/JNgj
oafjd4knqZedY2TK75lmzqvY3e0ckz25ORGDnE3Tevawd8gGp0C3qOpnwpOdtsmWTJWNbmp3YxUe
83s/fEfYhmiD6ehKZfPFbPnO1B30HvLUv7n4Fnv9Xw4W1BS43mwLOKYwxV8OFkNXxtxJJ9zPTnED
ZSVvRHcQJ5Ua0TXQ3SnLJVlOQf5aSA+ZfG92r3Q0N2OAUz3VTXdviPLuoHyz/dHBxfBTexlWWshk
8CyXPervIOtRDi5CyHn8JnD/PVkGDsAgjj9xEZVrj51YUjdX2wqPS84f42jinEef/bRTaSJSM72t
9K5h/7WeWWf9m7dA2P/1Vw+RQGnPxu/B9JEUsz8drk5vljiCIeD3suxhcQfupast9mXyi+207fMc
2OGxCqIfjkK7oaLyM/FL69oJxi3haAzkMq98T5Nb24uXFFzZxcmk9Zo5MNMJQGfuS2aMrur+sxe9
+8gU7v3Qf69G09zLasLnRiztmxU7axQpXGlNjF9lKm6tRdYHSCwdFulbzuLtBlDjsxG00YrU8hhW
Wt29eA4A27x87ZgIrSsSXsmCKe5paQ63mhXyeQymr67Z9MhMs21TTqjDtf3WTLG+tVKpG+fll1RF
JvkFgo8p0IgH+iHrDGvgKiuin9ogwx4yGJcOV9FqDpQmKmUubw2rmnU7ycuHtoQz+9CktPy9OUK+
nKr5UWrxcLuyOHVV/bCsloQmBFGPjGaw9GYUx+gld+xaT0ZR4jlp82jndho3BQD1bvZOrVmxKhhM
ECeT+6xFl+wMm4CWsA2A1hkIUrEpBqVCge6U7lnqxkC0hPxlRFq2Zf7x04HzssFNDcrfBYc8dKl/
TzNxY+KQ7iCE15vSRUnc5LCaItp3CH5ZBSfbQXwnjGQbySS/m1G3R3KKfC+iL/dnht1aBKSnhEN8
QtNN3KPB0FyHrr8RlZAAlxOOgjeKK+q/lImeEWJ8br5rwrxB7E9Iueb+3XSsZjeHiFBwRlL7dRgc
yxySQh/TN9Rz+FuVyju6zYtAsnUbSMVbKxymLsKcp4q2616nnbexHW1txomBS0R2N6t1UtcyB7XF
FAE/t9viOQ1HciZsfjL0bWr12X1DKfZkOfR9KEztc9ZNLHhK3/j0rw9UIf9CwqWosx3pKFu4Sijb
A6z7p8sqJC4jmnrH2LFNHcmijsWNmAZ/haIbTP+sfvY00Y+8jP31JJp0UzoKTE4ovva5E0BPYHBn
kO5yKTxvvDeGDA9gfMZVFnqv2nOjfQ2yYNs7g9hblv0Zav+KdIHsosnivZGIgnSv6psnK0zbq+cb
K0+7BQ3efQyT8L6s+54pSPFWCOlsohzVr89y3jVlvHN7AgOztufnAsYpJKil3IWs5GIXiB96PXTr
Aav0RauMtXkhCJ3wim+szZlUu8WlC8MSdT+fx0gL5yrTtlpZdtQQ9VfHT5PAup1N7edskM59SAha
w222+PS2WXgk2av54UzNIfJQ3wrjLuV3xhf93ijYlhNcOFNEXB0qXO4kw7AHHoL+xI7XAwfyhhyr
BqWkrdlL+fPesoN7m8dIbmjBWM1NB7gXev3hg9fOybIZ66V+Oe8zJjZkZgzeGzbaSzJV0CnUcz6j
uaLwto6h9rADtk61xz4PEigAI6+wYRORmlu3JKc0R5h0Roe5EqQULzLXYw3SHplH4ZzsPDC3yNgX
UduihEBcjd5Fv8Y4b5h8udm699FixglJBp6bVNcIPcgMtgJ4EGY8VJJxEGc/vARhgBcTDlT78iQd
vIofn9j/z+X+d5gfITxuef93zM8l+hFGwbf8T4Cf33/ob4AfV/6H4gCgEfZs7S5F/N8BP575H4hw
QfQQA8XNlYPg74Af5f4HbihTepT+tml93Hj/BvghdBR4NiAezg4Huyh5pP/7f/4Y/zP4Vdx/b8N/
z4T9x9d/7NYBb/+5zJE0mRZVDrt911TKtP5yi2d8OzJhbcTJ8MVLW1fFxQfvfywsvS0G7ztNZX00
u4IJYdqaqBmi+VZXiIy9WVw/vkJtjvgn9Z7pnxQKqexLVcz4xpav9EhmjiFCpH5lALzb/JXL5rkw
EIWGZJViay7TdZJjMJEDsn8GiacgsfUTaUMkXGYdAlidcYpVefUYx/4d54p9cuz+gYU8uMk6tz6B
F7GejNFsgCW646EYshvv9b1pjfFB4RxtbUDjZEejNXiqOzQ4bTzudSibm5KtfSW6JpNB8Cx0B6d6
wncYadZLkMrDbzZtYDb2wxbjhLkmmC9/qZKY5Y3vyg3trzq0ITW/R3zH82x2EREeNiwjabywCv9m
6cZ8Hhn5niJt8KSrH3YRDC9OpoYdsuluHS9xopWcvgZMRBmekTzmxJpSMrPrrZLjqV3W/WmKiGiK
zf6FOec+qFzv7HbIPdIwyQ5+b8wYoMHOtpblXN2pZ8Hn40hTIg7Pruo5PTVzoHY6iNbor6T6bEsV
5L8m0TnnjmTLF3e2V52UePwJlGdfEpu3QrJJHGqSTaIeZDZ5OP3Zbu0X2wz9nVQZOdDA3W7st1eJ
k9kETDJXbiJ0sM14zEOLOHPdu1tEDP6V4q03gvoeyd+YCRMq6cWKGCjDala8OnRlgX3HIO6fQh08
U3Qkl8zpH8RjOQ/NrBjhdHsFdEBcJ/vqtQEa7tlLxa7XcXwJW+NrOrHfbVuvOsG3Ifi9eoNoUpwE
6Rqr0CwfQ+UNK+0ULcJzODAjTR55Ho5k9B1gBpOC+FBJpt1kinvjjQMez9jdOTlNzWTdOlEOvyPT
/nQF/umKs/56wSmuM5cjwSQ3GA/WXy44t+mG1K/n+vSRiNrDpVyzoTpb7YgVtosujdmFB21FL20Y
iEMeNe8IL5p1qOBas7vzN384sP52Ivzx+WCNWv7FP0zswOIzzxWO0hoMmcdJ8OdyxIBoWUJRDcji
wRCYJhkxXrpk010u+KdMHcw+IY22IvnGJRg4E6bx7Jf6VONGqjyr/lzELK58Zg5tmqGkTWnWoswP
ACsMZxuZXMby493h9/YEyzR49X6UnkZ/jrXh1BNxsSI1QGE7S+xdzpAVyRx4mLY3Vj16/QZF0sWm
d6oKEgnbjh8MbArGwGNoFXCrR9SnO9RfBmZX3c03IBuXvsv2rBadQ7W0WRByRKrsU4j3lVIWT0lc
Y/lT5oFOIvsORVCvTbJ1drYRXmo1x68Bs/FJhM7J8YlrYsfYbpJE4OdezLiGCC62MBPczggdO5TX
jJPzFzkZXwcvmB5ubW10bb4hi2cJh94ZAoG6z7W/C30RrkAVuFvP69dtXMpXyvYiyVeKoHSypobH
WMp4Hy4kgyBO1UGF40EYToYQ+7cMFfKuirtPora5uBmAryqLoNfGC69TbnIZ01WjiI3Pdhx7Gyt7
J8MIVC7z9o1KPeT8mfjGqrlZBsD2Lum6z84yuCB2PTnEQ7UuWZAfjBY7oFO2SAfbcG0QmrKZgJMB
GjHwWzEAgJHTP+dOtwHkRmXYFiAyinoDc2wTxzCOdYXCa6R13vhOHj2VJDHvwZ2gZKDx8NDfoC8y
4CzPKyFoWGTmTKAgnHMI7+fUo590naY5hQkjkV4nB6H5gHRt/e6Ap6PRMWE6BjZC3hCvQdui2tcG
lrIS9MgqXq6RWhvgazAdN/70uQ8j1m5TvG3J9ozoxL3iVKkl9AdSz2oirDYlcXiDXAgbZqjUiYHT
K6/pNjv+i7KhScWLuaIR9jWd0f6m3SiutIU8JTxLBGqYQBvpO2NPRVvpY+oX8q2vJg0IoxcwqvyF
ZQP6om7jlSy89hTS3BZLhqD2nefQplCPB7QXbsriqfI9l2VBdKsFrX/rfqo0n4HUI0cbsfM3TWnO
LBugTSnCHX5bNBj+i9EZ/iplV3pRJTKMzEsebLNDWhwwefgAvbEv17lVC4xtbr8bVcW+tnltAHY+
XHSvjsEdgCXDdJkABuRMEw94SrqnsdQv1ijUbe62pZitQ2PJH0ZF9ta4wAuSyH9lcvJWaFTJcBR2
NQOfTRUXJCLW65J2RLAbvqcKb/uU5NcyJuPRl6a3WQL2pMjJv7VR3HArTkBlsch1MM09IZmxnkoS
zWBveJuwybono4/yHdsGxLHYwVvXT7ZojZc4SQ6FEZ1hUDO5rYzGWBXpMzUJ605hqrUXVeRvTFA3
SOmG2TN9V2VHrJ8V3OPaI7GnAhwS1dNjjGixK5V+9QzV81nj5GFG83VpWTZ9aKBe0/UbNKBPTacJ
6iOaezfmhvod4lDU+mTGpFQnRb6P01nuSGh0ui+116NwFyz/8Jkukg6SsgJWHvT7a48AvNiW+44m
/lyEJDGEqaF3Q6l+lFGqrtYPFHYFNUO27gjjUVr8NkQZn8XGX+km/BmxZ918TONy37+Hdo2ZA2Gx
1Q/RrotAoy1nHCGoXAyKIqNxrHM5IiCbgD59kIiIiqqOaqi/goeIWQUhkGwAgpjt1zIrMOe65IHS
wbhPcS93yRTTI04ax/ly5Uo1HSeJvK5cFIMEmZP5+NC+xbDLROo8j/rKxN/ZflyRLGzZkYbF1XGQ
lzQUVDiJGbPX3bWYCxbtNdIUNddn2A9gN9qp2nDjwGVVtb8ysAjAAQE1Op2B+r28+mDy7+ilvbvr
TjgcgqF5YrXMcMXqzqRDVTw3JhGZdbQr+ystNkoL30rYdRonRb92Whz5+PvCQ8s4deVgfUP82sMW
sb1XP7XsfV5mbNVm51wV66qK5NqJEbQy5ZMXf4oh9jOZIOXRCE+JGx8ydzZPGFqJOO2c34aB6w9P
4LxWbmSe+tz6ZXMa75PRrTZKjAiIvcDZ6oHvoCrx0Z3qnKW7ixa3C34mHjriKonEk18U76av4mNt
dc90t+3pg5NYp1qeog7HmFG2EHqkd0jViFDB1IsBgeStYIEVDPa1yAkujhg8IRWxsvRIcJ2/YdlR
nFqlCOey0m/MNomNtaHJdPh17k7gXZiMUJCldnNeklxxyLfcjG6YqZA3NtJdT2bFZULEzNOMPW4F
EbHYFKK8Ltb6C/R9tWqC4VvXEl9a4Ytiw9bKjQ7UdIrcFlib8LZuj0BI846tzB4NdOO3cDZQYu3h
p5j43fCVGAYXozIqfXDqGv5MjAsO9UJ/NuLh+QM5+PHVkBjNSjmwNbjV5OuWW+xLyjZazxCEKt1H
IMpIs8kCYixrH8lDz1kugvEQsyd6DghoI9DNcl3/c1aCIJt6TEOQFW6mycwK+zegUu1+A4eXYsoK
OjJXaEv6hpV/HqhPU/219L12UywHbLQctV0Qlxsy9MwVqv/oILrpi5XN4Vm6Pv4EokmHhqR5hofJ
2gaMsw9RJK3CEI6W+ytJuW8nEsJF04sjFP3hnFLSUrfUP7ExrlwGb9fSEq88nRgDdfRrxIN77219
wEvIb3BkihUE1SfkS/YuUm2/UqPf7oaqmXEs8WtnPR9d52F8SwaAQBxFJhrIINPeta2MQ8GURVnJ
b5FplfswnHYmn1VlmPXzGLJIaRJuBrP4EUBE1YlLwHUoyVmyjlyEoG7aEcQib+4Ux4CccuPBrUvZ
cHry2rybHLt7hWEMUJxBrGiYOgftZe8ODqVTFdlYxav8UdasF110tkTcdRV1Z0kXxmCFnQHGM4To
V4uZHrRoW8IZrLfSC6xPjSPJAhjWEaq2e4Y676nHhrZlhpmfPh663PxZIGPfSiOkAauD6YRJLkgA
UMQdgTQT/4eVnPtD12KXMkblcw7zSvagR4jCbHLSIAB2nX9vIOvImR/ErEaRxr3dcV9GDo/gfp67
dUQ1uDaxekNptNTGD7NxHyKiIS1KBvveh0xSh/m2HNp27ZQJgZgl0ZjZZLf7OcNA6yNnMvp+4FuT
/skOILISFQIoRGICBuH0/vGpzCD3MSAPIYLpG+a48h4uxKRm1OVW6vF7SIe0igkG3JLRIglqXgwq
qFq3pVN9lnR3KIVIJKC6RtIaFWKFhFt945nx9Fq04gE1/RpjdsYIeMJxlk4hNpbh6CxHf+s2+Ae6
EmmPTA6AJmza0HIdjoPPfcsqAKGgkiElD+FvWCyfdEZWRvbdh1J6Re3cOTbkJveAyL/aWJimD01v
PwhjijeukSKO9X6MnSRCr45+qaj4TouLNaKpnL2Q9A296xJ8SxbwWIMHHZLB3npAxL4yO12lqOFw
LJoONzkuZf7e3tXtVBAAhNkit5i6VbBYN4E8WH0vzn0nv4uJKieAdWBNEj9NCWIkygcS8iKPhM3I
r9Z9SB6ogb5upd0QnihkgaeilykxZO6zrxyssIOX7Zqm98/6q8vJdh1y8bAYRBgCR03qE5xjFu4h
1UXxBnWYtWNOcvBcg9Abx6+yJd3xuWhtF1M+KWjFKK8Y5+GfG3vWfJgwmLlvo5ryg3uFdfzhiNG8
pj1mSeUhq8shF0GTnXHkUFz7dvBeZW79krTypXWnXddVKTF9g3O2eLM2NPhyLWPG80GcY2kIYsHa
SP3GbyU6ViX0nQw8xDqoD2oWw5apu/UkG+KwdJg9d0RJYkIjTLRHWh3by1XgYahRggMA0tF3P2ks
cLdT/cTO6ySSeLq2+z7PXXgjEF6gSlp7szaas9DyUnR+cuKJffPH2XnWvszYahBikkltXkxq7m1S
UVsH6t4uMroIdfeGHVHNnSxSb1S5bJKeWKvVqB3bKzVAcnaJI+Ubbxiiw22ok+luMsgRTpUeEftZ
qzAH08dnk/4/veisLk+D9pJ15i3bJ6UvC2zg92oulz6OhTi4pD5eD23TOZBgSjIptfsmMwnyYQQN
1Anq6RCzhf54mEkUUyq5+UiUN+ChAAW0xRIyae7tnKY2lsPPhIn6cegpnDEl4YcNjceQd8VpqEk6
a5axW1Qugy9E9tQKDG880pxpKMTBKKb+VBfIln2sH5xTdggAJo5OH3+qRLb2+yg9euRZrsuiZO7u
FtWZCs3dW0LcIvR6D+aT+U13GR0aBwFE42JC5C0g94zdN8uPkzvXSnIfzbBeWx3NYymTrRPI8lYR
v3r2ZStwfIiRWtQI0xOlPjgtl5sdIjlyPs0ZoGoqvNUgWzQ/rRv/YPJOsp2RZw8GoGIvpk5sJMjE
VTGs4H04W5X77+jpEbMR4EdHantr1cXusdO0Eb1TseElYep1SPLPVLodcKWFf0c8bcFHEndI4bPB
iqabyGDTBRCWV/1cZaeE2QP2seSBZpAZvpVYcJIRR+L4Q/ItyQxehl7GaF370UNsz2YJe1oQvQZj
ro85yZlPRmSGr5zS83kqgp/nQUXOi1k5zktYQSUn+sA+hJOuV7UDtZPbePxcAAmLpNWfzIJ8CVlz
Nk7YoLSovhYzWuFI656ZWQ8yO8rkvXP9l56OfWtpL96nYWcQrl0gw0ncw8eLjq1kC7cOG18Nz9mt
BeYXPiutEAe64eeBWvhelimeumUIWUo7ObGa9LEOyZ8ACiNgoKzrK7+/zf5mMvPhTvdFgi8R6yIe
66docCfqZXiyDAMpgxvzElafZqeez0CUkktt2AgwqdIqLZ5UYeDGrzx0a5e2/RXPYXGOBo4lR5lI
UQ3JjRcx5q6m9MJ8EjmnQvs1mRSHjiykS29hZXUyINYyHleJm/gQTsZyHbitpILnJbEExhJT8Jtq
3OY1p6AARJa0+6aer7bTIOdP/eECSd7HXVxFVwNYOdJNVFuWGZdrswEWCCkjU08RTtq59x9Q6txz
ohTwUw507rbmCAhT/CKGnKTTIU3XYUSblPZ4tnxkPHns4dwZoYAoiU1hSFvn9PGgCnhM8zC86F46
p36AzALEp9t/FCCuATIjqIFtN6M4WqLlH5/FAR5JAB7GTNcEHHFeSCYxsVjP8/ALVtZjdKrTkLPe
5ET9FsBmpXr4P5Sd6W7kSLpkn4gASac76X9jX6XQlov+ELlUct93Pv0cRmEGVcq5lbhoQFBmd6dC
EaTT/TOzY/gXbZ5QO916HRgPsqo44p1eeEdDMvsxY2pY+rknpCZkRb7poWuS5pNOq7e6NK+krfVb
nl2pmF4k2Dh4gBRqXaUREcsyXETa0MaCyQpaJY13m9s0Zr/rPeFamzd68SfqmfigF4lzVZePdUhs
eKyaL6K0uL/1cFURzD5/DJyjdOaFRfKK4x8fAmz0OzeNsfqX1mOgQzCDGS0QRc9pF0AVv36zlN1R
vfNtAbsVoVfvdPPZAII2K+UewZRe/cAkwk4IZJWlVKvFIKT2c2Go9USv7WEuTnc9mw/ZAErSH4Gt
i0th9E9tDs9KBvmXMDIGdp76m1yOeBl4wWUrPeY97cZRhqIQb2tI/yRcadE6Q7FlphBzVncqm3kT
OSGZBYr4F+PsDqlmx0LT7FKW8RVbaQi3Eew7V9qUgHgEfjzYa8C7jS1i5vQWo1vGloI1UQjzNZCQ
HmH44TkqCxT25fNn6zZtfINaAkUk1ejbfI9tiaNQ2sc7QGfsm8WnKWMTNmXpQ88U9KJdj9N9YF/m
FHlhmjBClWkjrlNOw1k3OHtDkzB2Sg75dUJouLGaElkSI/A9CTVtIXLQVKqY2bATHG9Nzo1u1ARp
a9USK51+Dbaqrg0rU9N5BfG30N0j5QfAvAZ5wve0dbwsJgWi4004sBDWHSRzaOgr+Nn1xpC5x4yg
V+t+wWyUkXhVA8eZsXQpLEDVh7PtVuvAs+FWhSjzaKxVnTGpS2ApRRMvbimGM3V/avycdyFgislO
JzptMeIEx6EXX7zEnB9qRz3fES7gqD+BSyMVaINyEAtSsC3wRkJ7+ZnE/YbzMM8sE+gZgCQfQbvC
6poz5gLQlWLQjUkZMLLgkMFk+JcLQPhipIHx0iHuqIUzeh+mdH71BdnjGRZiv537tD9kWHExTNtr
OCDw8j4p8l3HgHdpJWq2Vo4qfoo6OlH+0O86wekCEJl7klVL0DUsD3o2OQ24uXkIAz9mi2Xdpgq6
o8qgH7Cb2acjwWiXWNVeOcx3mL9326wKmw0BjnxrqPdkQGQGiUFi3nbzp36ApFUSVMJZsEth6W1N
UBnr+6uPLYC2AAX8VfEtbPvhXbfytWDlmHOEqNi/iqnPn8w52HQeRaIiqTTHTKv86tmDwygzH7Z5
akWbvgc9E9mvbWlBDHfa6Az+jqQpmJoT1+mXkXFWxBT0PrkXXNcu3PoH0UbPjeKgrWeswy3HXEj7
1GPeYWXae6iTmbODT7ajrwfj3BUNLYrL0bQTrOFuzG7Li6F82ekAWxb9Kwg+x1GjDq6J6ZGQMBPv
uQSl7+rogDnaP+mejR/LFzMuFb7k2ABXohIBx5igXCnRhS/NBC9jGEhEYTEpz+7yRUbuNTWDdn/f
tIT2+OQWjbHTKYg5m0untby5Z2rUZjtwSjGv26vOcQn9n5lAsULlTY6SPxrazi6krrJLroxPqigI
+ddhsLZA8D0UC9olZKluW+spoaxg04hfntGS2HL7d0EWi2mGw+mpcuft0JJUTpvAPTMmvfnQA05j
UlaXBtSYSeX9aY7Vu2kE1b4oypjpweg/NUP0mef/96Jq4baxcqGXVC4JBso2yCaASwjH9FXN9Bq3
mIbnGHNmnWrQf+imq1LwQmu3F5/Duf2RNBy+2RWBV4lVAJ4BGPuYdMNWjyDmvM7D8GE1PMcBzjj1
VG0gq2Wvs5mdKtvLjq0RkXscO/RfH4k1KQv5xhbo0LuYo4e+97dzavpXYrjMZ2ycP90gCEx682vj
senHbgICwe0Pg3TxDMfZe10OuxC3yWvl/Gw8U5EVcM3bHFdYIyPo1HaU7ZJCFIRKmIIJmlWUzJda
t5JhhzWIs2UXb6bH5UxnPYpmR+NwMM5f0ooEi5BfRJEAa4wHguJ+JrfWAF0lm9igECbcZ4iBJ7MB
ZMhcU5AGUkWLHIlKC+HTuQWKtzpNzfHzUPm//GTmOMjU7eL1485kKf1CJc5zEDO7SfIy3FJ3rdZ8
RBh9yqi5AaFiiyIv3B3WNY4oziC+DRcoZ1c7R7TDpDDtgjz0iKZritp7yBBz4pW7eCQmR53EF+wq
eCeJaW6sNCXZt0QO+9StGcYButItO0yVR2QV/ar8Wnapd9Y+DLH7f8szE12UsrDYyS/KKJJNgfi4
LmfOEw50Wk8Qkcs4pMXkLyo53Uj3kK0zQvz7acjjZCIUQT5lz62+RhYzaYeQ3ZsffquMqYV66DtH
32Nowpmo3iBhlVdHLrhnzV6+y8Nm5fpN/FkWPyfIxGhtBUNwH0pnGFUkvLsQ8Ap9C+dx4MRoVN4T
xzeGsEiAM4XHW5XNzjVX7S4d/HjCHgx2z3FNdzPWUMvweCHZTCxcM+nvuqobnGGZuJjWL1sDcFpk
7QQD2Ukn3Sv9IPWLN3w2lX1THYGrhmUE2zscRBxJmzqaYaPUon0ZVaXPDHNuxjT/HLq8fQ7ElgG+
3kiHWEu7tI/1VvwLmITa1JX4ltvmQqkFB2zqZLcZnSCjxs2oaNuegnU7ikeniXZtGkJCiunIld2L
Y5PX4vCx7Tu/xsVTMW8yfsIvImttWLjuO44SFXmmwmiuLWdb3ksS68bBNJV7Ghtun9C0zpxvIt42
g42Ik+w8Wt8AQB5qv3+iT7fFAhDzSvrsJ0bXAO1hvUgpypoHKlO9cWNl5nsLzWeN+O6tR4i7Kyiq
yAdGise1XNgguyJKy3ejjGxuGbYuTrKOS6KPaqguZpb41zBU4EGX72BYXoDz6mOrxs7ciJRWB/wd
X6Drvw0BUwIpfCSxKgyQ9vly/+7+xZiBH/VAqPKxDh6CPAsPYxv+rIRIzFWTVuED3RzHpugnDCrL
33XL3w1NDzXV4TmB2hqvlVLQvQq3NFeCHdjD/Ytpi2BHcQEPieXv/JnmtrpFIcG5GgMm9OIHtv5U
SwTZLRnzGCfZ//37+3cWsAn2BLVaee7OjAzGKaCt4pNUxcXRHie0olry0SyxlUuBMtvedWvkxibu
l/6AwHPXQd/BJWEgvKkAazNjScyT1oBGJuouLSup1qaZHnojoYHQy4uNPVdQ1zVmTpOK5q3hFdbW
tP3hJWE0eQEgA1FOPyuIq+sJjNWBQCeJZOZ9zOJvGe8sVKFhS/z8Adyftxa+egccVAKyit4Ks/yV
D9EnQfKXkz8VtYwmKz1xeKZkQraT2NciYvxeO2drRFrJIGB5RXtyiwx5egBY/1Wp/puF+Eeo3joM
1d62aspZ3M+pJZHVwmZXB+qiJ4bFnO3YtSlIDGEePDfoqIl0u1VA6Ib2BK4z4M+NC021UPg0DOzU
oQzXRWJ+y0fdrML3zvruohdxknJOxTC627wyUW36INtCOn4Qdk6ou1fmKu9SSGqxzPCZ2AtYeYmn
jY9ObZkMpb/OVnqa8NWtZpDHsAzcp1SlSLxl/SDnfsexlSbgVW0yWyPVjBxNMYoP0JjNKpPoUHZP
PiPxtddCVQ7T7gFueDqGn4UsXXwr7A9iNo1G6zDHa9OLC5h68TB8BQbIozxvWHarLQ+NNaNjufIa
/k0zXU6FzSExwP7nxfcUEyWgWVFs+hnEpOGTCHa3vA6iZxaJZXe6jfp7MmoipUW4bKQLBSFJWetB
J4xtdqhW7Icz0lA2YRsbPY9Djvg5D/4b+7x5ZffyRdO/GM3RzxHyHuhIcA0mwJcILCHlET/mqFqI
skm6D73hOYVpXWT+E9pxtbYJyGJJH6udqv2zLVzugkBvG5Iea+w303ZxL4Jd22sXLIcTWgPwakBI
yc+EpP9+bIJloCfyFbPjaCMLEuCBmDbCz/eqzNv1NDTF1uzaE//rl6GvAGN11dmOJ70CuFpz7nJe
QjvC6ajoFS8JrvCMJhko6882hEyqDkGaG9VfkiQs2/adnZjZamgJXWpinR4syjznE8itHIZJ9WzX
stpls9x5PkKSMNwnUqYoCgHe+z5sV0EflMQawp8kq25dzfTRASYkYJtvTdlivIr+ch2LD5JsJ2Il
BCCY5Z2G1ND6NJv4br23Zf7YMOAhAK9Q6TNv1ybmO6LkV97XqHwUo8EFrrioCqoetiZoZYcaY1Rr
njEFY5SycTA8QAAuDD4fH0vEtvNhOdkJWc+2OXDmzFHZJCIMMVhOLjZBuuFQGEW6G6b41qjlTJpI
CyCM1hsmaDxw7GJIVqKpXzC3k77pdwBjoA9GBbqh02xygIebOcOYlPI4HIIagV7Fq3LkURG41YWK
2mRbYQBOSPWszHSdVZRk4KmjfrnptrFX4nZNnqgOdta+TOf1bNAhFyHrTJ1BcrbP0cpy5lvaEg/I
oaCMrLnCh1sC3dDm9zZNVpFVsbVP6hRB2MzXRvmT5mqxzkqG9rMiEZT5b4W2D2nGLKW26mCD4P7S
wRFf1buscH7APUFdmb7hbPqWsKIR1wZvEWKoSRs4V4NvvlcTIx/I76tqFJ+6AQMvDM3OandzvvNt
CLOu216LDKmWjosrbuSM7pliI5f9pjPI9hipnnQ8m3jTG5J9X77XWF7W4CBJi83NyzREGMpznJRU
74Aa4kNVpoJRmhw52H2O4+S7FQ70nrEY5zXo9mgI96anX6fxXAn/q81KtGmRo6CHO88m4/rQY7js
eJx86T4o6HbB6G//KIvgU8ddF2tb0jQBP9Qp5vdMZ3+5fVPuiRr4vUcXV/0VplSwmUWP1DBfilow
Og1thhH1uOmyVu56o79ZTQaN2/Cjq8lnARS/3aQOunkZFxfmpT9xB7wHRT8cVev96mf9FxQba1ul
tBLWnvmHfN89YvJvc5rrCv5jUXeoBYH2f5vTqiITNMKV/qkjuB5N3udSLWjkHOtVOARiD5CbAiW4
I6z9/hYbN7lP45pw0N90LpN5J1ENZkkV7gN2R//tnbPc35xzrislvl6FydeF+PPvF0duJ3RDtIRT
3HjiWC/jL6WjdueGzpYRPfP8VF81UcNlokWNjRe6uxlItkKYBeRCdn/2OaJk1qXtcKLa0/MfXuCH
dKTtkYgka6CYW9ksheYHa18fFqprdOCfqK1KIHDX7CbycJfMkbGveOG0VQzjalwqJ810wN+k1nj/
i4f/fhm/eYx5Fa5pWnyOFsSqj3kH4I2NEWA9hBlLcLWcFwKq2hSZfC8Um850+TDLEDMJwdU/2Bs/
pLh4AzyTChCNz9mkQVh+cFtWUNlL3MHqRLzaemiQC+Mo8rYSjsp6Xn7jQNGH07iF97dn/n/0edrL
Z//vC9cj4mdbXLkmGSrvQ3bTosivyNNMIkFF1SO2rxNhIVpPGutAm+B+GkA7Ws34ms/er8Kd643n
3Kb7bi+j3dI3ol+0aCabSffM34ghosF35zSu+6uUxbdMsYnH6/Ane+rHtN/yhgnTMz1CnQ6XzEd7
6pQx8tHsjKFm1MxXjPk0LGOaAtFhkwAXuwkar7BmHDDoObOgv96e0wsG3BoHaD9RG8HZ2S4uQYLm
bhAXqQEaHRK7firbsj13Zrntavx7rjD26MaYyOef2eDRctzECA5IEytoH92FoDpeOVeB+25i3BMx
rXFJdmXjbb3+b69OTxL1w6tHehiR8cMHVeROZfJOq1PH3Ji2Bc0jTVTbqu++NIKdYFQzALbc+HOt
aGv675/9u/WWn024koQd2ieW4H8vIACBBtzvjTpZptqC3ml2mDQ7Aj/+xl3Gpv/9035frjwJ8NmT
UmnNsvXhp6lW2KDY+U3pWPxrKMo3PN6QBZnuJ1b2ayz9v/7759nL8vLhHpDaESY9mVxWzAT+/esl
VQYpISrkKfF9skRkXNgS762GRoSiW4Ydi0QQFYz9A+O5XOrWfFvwtC2gFt4lr6p2naMIyue7aTQr
dUwpJ6eqwd8YhXR2RPzXcxvIx6AhCW0wyf3Db/D7AuopuSyinMQE3314y/KoB39JacIpjA2XylPG
9/DGbhY539Po6vFAJveLQAhTGoUOQ1W30tnIjG2xIw5UH67KfN/4tL6mzqSRM9TVM8pPdlQGr3P+
5stq3v/3S/59saX8eeHw8rbzvP/4nmt7IFVWSvvEqIEBv0TtkKT8DjgAjxbx4E2+BB0YhQeZef7v
H33PxH74vLmSXSKzrLWO+vg8dBne8rMz+0Sva7au8pluWQ/nTl8nZ4seg5Vfw8S1Wq9cOXGL1rV4
ausFcorHr//D1W4tV9dvr4b1jNy8VEqKZYX+BxqgN6NcUCdl0SdVsV4t7qF58fzcuP7C/Vy+cSrn
hmN/aNC394c72/391takdCSGOhfB5vdlBa3LM/PQPJWm+ZWZYIlzRExfpLfPRPo8w1J6EDJjBOov
Eo5Jkot9PiJJqN7dyD6QcLS+15Z7mLtCPvZA5jnnR1ZdkoHEzRCQFd9FCJePo2OBuGGLUfrO6U66
SPoKXpEEK2T35r6VuQJMh+RW4ql9CKJgK5izrAiMyF1WQSZpJqW3UZHqTexkz71oD12l8zOixLI0
yIkWKp8V7OCUuGZp7QCTF9pYvxq26bq2eJZZ+XtsBs/2DCY41giFg+UfgnbtcaHQZRWMxGZttR9G
CAxBaVwsQQvAOIiDAUJqMLLkuTbYuLGpvTT9MKOLacTOhhNV3Jl0Bnq9d8nd9KUNklvXLBzuMLf+
cLn8fx7YIJo5smoeexwg7ovZPy6XPOL0OBm+PAVUopznRO5xGnyPw8Z76lvz7AXYMJIJzwBMwNXU
0H+Sx/lrN/ryaM414jIj2KDCV2x36R7sPnMCvIyIJSUQ2Uq+SZqTViQU7D+8cPn7Ha9Nl1WW7bH2
hHe/Ev/xwoO0x7bCHvB0t4lKPCazMf2ikEN+z7L63TOmU5pK95rMM8U0YYomnXe3Vi/sjpLHKRaa
jP3Xgo6glyqN1kyfBe7BelwjdopjEhTMFaFboVZte1S+veMD3G1LtIYGWcvSX0Q8YK+3jMw5ixQl
X2FTP1ljebvvrGCL6Et2w6zAwkjH0Ta1I2bIaMtnJxNPUKbKTVr/IL1YnDdjGqEUsmQeKiZ49TDp
nfHuiZJQSkbOHR8Wvx+7e8E7/Jj5I22DpMEORYvPS9rD1z8sab/HdbTJM5pVxAIyYt4RHf94c82q
Cefe4xFGZapm2PPQuC3Vm/Bf1vD2xCpoM6iDi2sULmtxSqslJB1iikg0IKU6+cPqbv32SFWCd5/c
MIcOgjsfXw9Ie4TLeppPfLzD0W2wVLguEHGzfogcJgntU9Lm1EHDmLBHs6R1AKd67iK8RWHRXDpi
qn/Y6f6+6vOSPKKDplKap+XHDZQ323iyGR6e7DAS2EzVihk9giF6QxJajGeWBi8XZMiVef90XCDa
mdnboNdd8SdkwW/7/eW14DW2TLFsXuWHNT8jnVM2vjkB7LTIBZJOODZttY+QAVdDx4fm25SnBOie
m1YZFkQPXpsxlI9BksLVq7Ibur7P/6dzNhWnXQ6TdHzP4/z+h+vq96eTWtgSHEoIN3FA+Hg0S0UY
jXCJh5NR23pFWtI8ZoF5wR1LLxWy44EB7MAS0/iPvq+pwNlXBbe2jrLwYkTPgmrj9eDKtzCo62Pd
R92qrr3sAtbzGgJMHrrnshqzNcvdQ6vb8oUVIjujWBI4IgZvdyzDRdKUm8lJ6u1c6K9+3v5FY1e2
p6bJ3xlmm+GzKuExhzmGcBk7DBcXY3VY+dmu9yBWcbTeC5z6TuPKo6wE1eZT5m5bu2pWJWGhswQI
a+NM2zmd5+67hla83nLzA8MCgT1I6R0NVdEGXOT0yD0NnGiGaDVLH3ujQYeUI/PzKJCF71/KFkZA
PxXO37XwBYIe7lfRXmbSkqRD6CiZJywIPeRf136zJrbzcRK8ZTYQioYjbhClW8NprSMJzl+1iR+k
F7O3ZvZyhUXWrikM0Y/3RZT6t+Rsev3LVHVfzWImG2FsB5xWl8gynpuFUhKMeClon7gG5WcE/5jM
gdYnVU+H+0k68utfY46DPdZk7UueBOt8DqwHK414xmX+oXHk+Ic9x+8Xv7Q46ZM31lJQQL9sSf6x
VkU5CRncXECbEsFprV7f99DlsPXIAO+MCgEBROofLuTljvrXLktJi9vecR1ECld83G/SEmW3/RjW
J8iC7Q4W5TXten2OqYAFREgx5+yJfdsCYF1cWRlhnr/9CrJT3uW/X4v94YBD2wtbLZsnIWEwaf52
T+VEP6yqlrRxYB2sXC+/cBPxCJYMbLH97olvOEcV+pRpdtNmyWvM1J0cZeHqT3Fi7EKaXuvcG65R
lH9nI8Lg2DbWJUbH0cjYO2mk/Dl8Esh/mwJnNgVr9Y7OhG0xjvafVnrv43gJ8pethFKC38UWnFGX
Z9M/Pk8nRal0MG2fwrGKNp4RWnQ0SfMEloq59v3PRBat0/27hEoQOCbRcXBho8QtSejV/VuwdXyb
elm6m4TxaRyT+XT/ErGLx+JOnWpay839r6RRMDxkdEEdQjuf7DFBUGjbg8AIhwhSiU2SEKB4BABf
VzNiSqzEKZIxRSdhOf6/b02cKUbA4JnkuIBY5E1bqZpfmZ4MemdhXsiGttg6a3xJ6U4B94aujO2Q
iuzgyOQQg0o4wW/0qQOh/YUKizkbvXzVLt9OhIUQJE758uX+nabpACh3bvKVdDKbVWE+5bIlLAOB
sPUB8Kd+FRw4i6aHUTl72zOx2YzhS9Xx0GIVwzFXvWZthtHY4CkQ2vPeDd/CLJB7tyLOhpaAX9xQ
0cquw9d7MvPv+BV+QSJ3Aai+kTxQNyHLlKlT3Yzom9XWJ19k1cPshGzAa3jFgpjWymyosc4WrsOI
l8RG3HiOrd56zUOg1nhZQNskSAUpAqs1OfVZkwna01+XrClv8y5uJjbMnv1d6cBoXNbRaShvTgzl
uwwSb5c6bXhoCYrdXyUa+DVHez/CgY3WppvLlzYBQqwTrgaOLyjzWIQ2QI3aiyGK7hJjfuJwAbm5
t515XbfMmtq8v/l+Zb7GgUmTEN7h2tE+yHlo3xX3kGlUgudSUxqbEKYMbj/nGuRB+lgB0VwVCQ4s
NSh1vMd1eGwZNEQiXRk1bRBpmxNvn4jLk9YCbcKQcsxDzKvCyPfhCGU1aDhOa9Ceu6b5QXYW9tVg
vQ5OIlZJFRhkQBnJT4XMLrhcFreTvMgE51lAjmLfYnLdk9yyVlHL+UlXUNNgM75iGLO3IFSoBwWx
XCQ0ibReZKD/BJ+YET0StWIMZTkHLw2to505h4DDPh712d5CPTtN0UCFxyrJK+tLnslPTp598ZoA
Yyn8w/VEKh6aYL0zelce6GYjyhcU8N2J+Jchqb66tz9jnGXvnKcwewASHZpwO/BD464eb7zMVauI
x/89oTQTbIde/VxUuNQJkj3fg6nTYssdK/0KxxlRbpllSrZ+F9hcj4UFfzk3qDbyBuxVfRp9xglb
7XuPy+ieLvZx2N6cHoXJiFT0ow6/mcGs9rqxwA+H+PsmgNR079INR3M6eRxg77SQ208zzpjXAY/4
KonSEHMSf0yr7kqQx2K1NRW+EaYLbjdgagnFeItqdv2ij5tdFnnxoanMi5ZGfhA9uec4Jbw4Evjb
OlSWkcL2YRamgh8/1y+TnbobU9KubSSEvRQg9Zgn79pLkDyLozOp8gUyQ7Au66pDPHGorZtRWPN0
8R8Rvd203PkmkVMMBOkBWh79REOwPHrp1tStiQWyDi8MS8KjE7MKNRRpMF/qjF0tqFuA3WRCYJHp
FZQlwxyX/dPg8cB3Uah1IXDokSw4D/sp+atMsIri7SsvZhQtzhQCJynGyovOnziptBdGvemWAaRe
V24sdl7h0LFjFAH98Q27TBVUr+xr14WXO0/smIis6Oaat531oAXlm0n1THAnA0vbscY0zZxu+lYz
UHHG4czvH55Ubq8j0xtvscynGw6qkCtgXvWDW+2kE3o3I2isx5KbqeI4uw4wY54icvDLAHc49ZVB
/yl54gCRrDO/FOXITC4fXhObAtmBMP2mLYNHDMTeS5L84MGAwtoI79RmnHo4SVaBTWwTM68DPfsq
e7/HCHWjW6p5ZSxv7cxqEhDw8vRE2/g5G09gQF2iJe23dKL7KspEsA6oDt/U2JLOReE9N+YoeUu/
hV1w1ORkTonGBDdhft9FyNorlYIMl3WfvWXJW9eI9Uja6hzhJj/0fXlCZYypPeERB+sQcHde4mt0
HbaVJUvKs0F5WEl1iWsV+pG6cxfAu1nv4Yc9OTmjvrbkxi/K3NkYJpm0Dof5Mcpy8xhM2RuPfBYq
PKq82yaDPt10BJLwt63ZE2siSLSqp4jB+6CjxSoohruaSiPhT0YLzbnEOh2tOr03qpK72ZQPMPh/
JYHaTNRdrPAFkJKWI0AxXFN5gN6NcbY4T9ShFZW/Ubnz7lcTYLlO2rvWk+ybgazhuudjiEtz00B6
QAEeSH4Z+yAlKEBabH5AkmTQZs6aBoVM70Jiy1tSMdnen8HLp9pKzrV5tTtTPHBswasGn+ZxqOlW
8rG1LoQhsfWY2e/Htt4Uru1dMNBRvCxp78C6RTVbw1vfptOuqJLxKEVF5nz5pxGFo7W10Fqw7njc
HOMLKF4kYZZQjzXopbIDIJ1BN2KeuDlSyBe63VeZ2+S3eSry/UChxnquFYGTPiHi43cexS+mteWd
BBHoSrKUU7NERqJLSxkS6usYfzP1J0W1XtS5XxW8jUZCNyPTRPvVOPQvuNTWd+9vkUTILKH8lrkK
V2GchkdttFta0Z1rljvTtu7rG0dKKNzVwev1fLTMjcNWioPR+BM7B+nDrHmCodiszMKSB6dzH9Ik
eLCZcT/azfR1ckqfHs70YjemPth1Zq5ngdU2IJ647miWpuJo2NLSrQ4N4YkV3D06SKnYrEMnWquJ
MUPb9CGnZnXMksraFJXzcpdlOuBbR2XUoJ7j/F2YODjaXl3avDo7i9l6DAQwm+RC9Vt9tJMOOdkP
CFr3rYMxbxjpSZr3VlYOsKiKfRSE1kX26jx76c+qjfWDjy1IMODZt3N9q0ZB2X3gg+T05w4yrE/v
yTmfdPmAvwxLsVMaR5RnIC9mrbc0C8GIqyB1BBAEpvi50F54lcQnrMnyLlWtNh41WZvaH77dk+Uw
9lZelYXbem4uFdjqldQQZHRLBfoihrRLSVjXJ5uqsiiIx9q6HSNmRAWDaIBaXByuORzBO4cbL7Oe
SqYjcffDhJGIGYF2F32M8JSsQr9MMOgRuHdyoveqJPo+LBFGEqLkhGuBUBd+x1o8HspW3HC05psp
rktMAJ1P+4PGJ080em1VXn3xiWfuI1t+i3whrnJulqASKGEz/eKPg7NDD6VzFHjo2iXrE5l5e65d
9aLTcp04sXHyM7B1quAEmpTDSy4a89w5wQYRdVq3k5MzLG4OFrFfm635M7O912yyTWpm8KsMfnJM
o1Qib/f9dnJF+ICdZDfMxJsBlLgXq2sJnsA+o95RWltCGenS05txYJY3ZUSfWMbr08Dw6HHmYSyw
tx6FF7KAtMlDN0v9yOhERRgoIxRBDJbIflXTvzP9o7Xo6Q44of16vN33oZimd6kW4YX9vmAZx9Jt
VG29NbjzKSWbTdyFAZ7CjotzdjaO03ZHTB7NJhBe/2To4WiOgXltO0omdQC1t5S0BFPH/RibDqi2
LCU0M2O8g1mAUaWJvtNeNR/HoSOxqrPn2kp4oGXGixk4dEIJqsxdJ8Z8IgfC4JF/1GNVPudLQ6Nl
qOXJGRz8kp81Uv3bi+alysZPyhr8Z6ZF+KHKxH7sCVkzHgIwM8UNZr7Eyw5NwqmFbBPRvH4+R405
P9od4IE6G4z3SaSPJJE6Zbi/fFqma7xV3zgPG5vabi8R9WQUJTAFbRPrWCc5+xuHa4PWoIJQy7Ep
SR71qhkugnzoQVXed+gANsmxc9Wiks3+lFG4WJVbR2pBcAO6098m4AY4AeZR5FTCRStVTcMJjs9b
JW2qF8v8CTd2cYxCb0QK6J48kbnfBm4wPRML6tImPwWYI59LqNY1q8kxCjzix2MXE1D3l2cGR60R
Cl/sfFGVwX4wb7Akl01pbVosa6emrKIjZRi3oKLh3XFoP1YhbptRrYYi7m9B73DPxY14cGeeyjXW
7ykK4TgK51HLkQzIAFx+Ikuto1S/eoKMI/a+a1c553KY6ifZlM1T3+OI7Evg+8v54X7dDnjC10MN
w6WBGLzvXEGx11BbDzTa6E88ffRWTvjhCfrsphIgQY8/FkJpV2/0MB1ng3MeJ+xPdO1AcKbIYU3Z
db7nk/k81rlEo2O19WOqejXu0LzOgqcFKVPWmOOnZHQANInxJVsgnUPSH1RKsJuxofeSel/9WQJA
oVR9AL/yN1eE25qK7Zle0rtc0NnEnrjaCC8WPjIi+PawccptnNOWyeAMz1U+HjNzqdWuHRA1PS1B
ZI23Rcd+IK0EgIs0mfc6HaAbpIVz4VEzwYewMSCV+S9GGXqLqmKvG1DPa8MeJ4obSUX4oxS7GJPe
VRRih5knOWeITWAwgQ8D/j+NiCyerG/8c5h/4wkLc5KU+1Zj1RjNlrrIaWr3hW++AJOPzxMD6ft4
a27CH3mPhqtJvq6yzo8vRKxZmm31igT/OuTTQ22Q6nLYwU15E5N4pOXNaML6UNRkPa29QQ3Yul1Y
Rk0sP0V09KyqBiS5v6SaiOo3jyX4yn0ODRcHhXdmIen35Ku9nc3wa0PZ4De77QRIsp5CvxTnzqoP
ljUsn4w3E/tyIDkZUDe3ST37AbFs/JrSSBBPuyxNFVvbEYT4gL09KHPOW5STDG2bnKyWytk2Lc7e
/2HvTJYj1dIt/SplOSeNvhncCTjeu8vVh2KCSaEQfQ+b5unvB5E3dfJYmVXVvOzYwfAmJHcEm73/
f61v1elH2NXEvYUjjg6dLlip0Q9bEUkd+lkf2VbkdqnjxZSgrjBxtgUY43stYSIZJM3HFDlELwXo
suwY9naQ4/1U6buY8UhaOg2Gkwg77ZjHBgWz0uiPTIfjs5GfVjD9WEfDFhOAA9w7lpCAgzkxabIa
EcewQEXlUbfAbjYOh94iZCcOiDVGcLkfVfXLaibjkss2Qd/4IlodT0o9JcM+QpZJWpz2U0dx7Jus
KFg0idkTHL+91bwMJCiS4MFtvR+GhxUExdxI5sJ3XDLF/mAmkJor12CKXVFHzUUy+qca1aLXduTi
VSS2sWAnMQWWfXahhBwM5XgejPFos4Y4ViDAepR1PorfFKqW2ZysRL1TBrt9YH3O6bkYZPP4Kuz8
aKeOfocv91T2xKkBygpv1O83gox63wJAvuksZJVEkNfnpq56L2vqO6Xqp9d+i6bcrWRywFqE6Dqu
NUvM7dXqjVMoIv7y4CG2gVH+HBreuFoPjWEuNmNf3KVYhTZKiPqyxlXhpnb3Uvfak8CGjM1oAnai
e1YSgAmDQeQx8n/kUoQHLVPry8DvPDiD8SKVzk/mKm6t29kOWy3TXIoaRAcWGGiy5FK3hLwuq8ym
mP4USrPK1A6FpWxbhdbrbHDvkpeqpSOya61GTHj77DHQfivAuLCH1xPTKmMv16X6agfvUBQ/iMcj
GZ0MIz9SM/yRCsv+UdVsH5ulsgnajrSvKN+HuGPSWWt9XcCOiZzognPwU++ZyFkUBlxTqQ036HAE
IZjGraY+pdBbXUXpzc+ZUPCfZK6Gl5JkgTm3lScnM902NN80YYg7Nc4OjWxlp6TOH8KGhReRSXBf
gvF+mEi/bi1QvV1KEjp4dPsQd+qp7cPJbwfNeBckvvnSZByI2iSigYxLTvnSbMcDlWp1I8V4jNcZ
XMnoqsR0L2JUx3wlB0EbEEZLkDSEX3A3y9ZXpFCPwpWJ0RsA834g7NJtUaxGFuvXcmDYcVrtR8u5
7kbh1B20WYw4q6TCd+TJZ5ggXaQbTupEC1QoMFlpazJuIiAD/jRukkDWMDhQlRgTPduAIda2wcS5
KXp0xkWJnYVMWzlPHh1zsVe2CAdR++7sWpc26N8qT5OCjplzQPJnkFxwjQ1uGMwF6B0sQvM8/rZM
4HyznDhUBInDwyu4DOjtZ5XEzR6WCNZzMX9IO7g8OH6cK6lHw9Ec1MEbtUhsVnwXVAHYSSOy/VAl
wm1QKdauokkaxenRpHjppgZAFyMcd7rVUIVlWWcXVbsjKJJrNGM5xS3IFOh5weFSrxKpr4YluYBd
+t53JslaqH/cxiRIz2bedIjK7n7oHI3YW4tbyiSvRVMqectzcjOdlVwJN5pRiG04iDdyurvt0JEL
lKYmtU/Lanxo8iz0xsWi0g0IbaJWJvySO37fQZIoS0Eg6fRWa/jCOCexoQK1G7N8+GG26iHWcT1b
8hUTLdFT1aEYaZlNAIeArnjATccbEk/LtRo6pXLjj72qHQIG2d4229Msy/eznSrXoQEQ0jcSju1h
4NphIWovi52sCz6aAWqC3fSczTWQDdtoS1d2huRIsFbozba5gx2fnKDXZyyjBuT0Zb2jf6IdKuxB
7gwxYx/MGKuUoP7Ja5hf1N7v4lg5t0N9VYfRPBDsuEdv296cY3nnQWwxqRZVVKdwtRySVG43rVLZ
G9VsH0lMax+yJtFJYugoJUr5rbmag6HfG2l4buzyl2xntl8Jvd7ZiBMoVNikE3aG8lRzqzos2Oiy
gZluwHIbSLwZAm4IGMwPSJqnhzgDb5FO9qLfiC/JQ1bbxsnsM2XD8HGzzAlcwFCHnpowRM/RZJ6Z
iRLJTQ15ozUwPBJop/doVmnS1QCMDXNouRrT6U7D5YZxmKAwfJDavWQz2OpqSwI2kBmvInjYY61s
0IpYztwaKgxW334H/BRAl1GENMJb3QN2DaOhGiI/H1Vrmyo99zVJpVztxObbMH3aEe4sqQpYYqpj
dpWb/D1wip+9QdFkyp5ass+fVTHjNkX/CNajOqmG+GTNTwJlgYdEQ/17x91qo5tqcW4BlWw1XNsu
ZW2YCqH+0BiGPzNwPpYMRlNkHw0mTdto1D8q6PYv6A1+2Erlg/ltfhvUO8P02S5s7dz3cnTRGZAV
NGXEIdE+sCm37I1i/j3EZYS1IaNzpQn9JQjeWBE95VSMHsow1TZxBG2/z2Q6GfG0naMIg+kQp3sm
9OehoJwuJcH02FQylw+5BHi8654U2cEAeUdNKjLD9h6P14vKFOiiVWdJJVFOKQDjHqco7ekG1S+p
0bebOm1qAha5GZLzON7VdSnfD0rxAz9ddZvK9qvooZGpQ0Je4SBZr/OkLoS6WbqWE96PdJhJsWXp
tW97J2ECJbXXcLz1UJDKnZUFG81KEAVTYvMgkDBWmQuowOjq9Nygnj4GMSFJ2aQeZywy+HmQyR5Q
clLocjLZjdTicUjG16CUxm0EQpekq+GkLaURcxKC2TaLubxspis6uumqMpRtpHGkqttPz2kf6jcx
8YNdnY9W1wOz3ayjCd3X4jHCsrk3BaHp68OpCvpH2TmQOS3fZWW0K61SeQ6jwbdUOX9r6K7sMjAV
26ZUumerzg9M/DfCxO3u+gFeZc5HCDWgIqV3hbjZAejJS+RgA7cd2ycSwMi69JzPyMic3DhYHfQp
VvG22Z3KqAc+zO/GAZK6S0s6we8Avq43/d0D//3+fROucPG/8x/3ax+t5Q5eyMm4qjeSLl/NT6rB
KslSMNA1DP6QXGgbbTpmEORUEm+/MXyHURg6wLQHb9ycB5us8Ud07KTfJWSpQ7fRN75/9a9vV5xl
7rvtKl7gjv7oq1vjSJjBLb6JF/uH9gX2hllvZQIWpJzj4RHlYfJQd35v0PrwUwJoPkbaVXv5QI7l
bbipT+1bg2gdnwmeKAv2k0fhOmg3OMGkbtsPO2r5uFdRguAgka/RtKQxVtFT1Fdb4oxq3FI0KvvK
rvaAEMUuSHodKz5piIk2SQd7KK7Y7sqr3UdvQ5mPXKimT99a+0iZCLhMZyXQoKm1D4vynKVieCf+
WPX6USovE5K7Wz/IL3NYbNtBZK/sJCiTiE4t8jh7pZLsGQ0SBCJ0arzluv6qCZOKWcJ0MylOGoaP
gg/x+EoIlovHZtreumGDI/N4SwFXBY836x43JTHOhPq2U31cN7Ve1cca3OefhxaJ8uRe4fpJ1KQ5
WlDbjkHdNsf14bqXtpwafZ6fFdppRzpfZyk651Rut/USO+5UZkm/nL2/PWzojuxnQ2ySJfO3zJeg
lyis2Sr0y7ZjZj+sr8wBWP3YaKgQKznhwIl2tmgQbtcX16jgWoTlcfkEw6BKf3m+KiyKcHhwikHJ
j+smJG2Yi5vN93PrHlibZdjnnk2aBndIfichExa4x6CevfWjGzHJxzo9XS9UKmw4fXUkNZcwuS5r
2pNcqf2uBO82G8a/fnq7xC6uP/1vzyU1ACelyQhyy7PnuaijbWOpGJnaiAhdbmgQoaSayMYlTbnF
1pkVybxDx6gy9KgRDiEa1Wom/3WzPhdaTUZJrzxJy1FfN/RjqZ2SasB2NEdwNxISCU1m1BdLOjnz
oJK8DH7RQHv/j3bw/5P9/09kfx2J9F/EJZv37v1//S6oME/X9/z3f/3jLs3eozJ//w+y/59/9C+y
v6P/U+fuYGGsURwNVBNKveF32/3XPyTEZ//Efk3GCIO8ilSPl4qy6aL/+odmLa9YikWiDjI1y0Sj
8y+yv6b9ExMAp4Gp6uryb+3/F7K/qsh/04XyhGYhBXcUPoai8ev+Uz5Cq8QuRhZtR4mVclbSMBom
gsOtlGVREL0MzexV44y+JR3xcUqPKTIhr+yVcQNbngIVqxyCYkzaiHRWxyntjuicXDnR9QOxIdJR
xtdz1BfZaQjyulcP0VDEJ2KVK9lIPU0E1Oma7mOsZSa3bTngKZ89zYaPOil7J8Ihj4TcPs5a7hxb
5LWbJIICqpb42ivTeKmMPPWalhUy4ivzKNrROq573xsWH6NKzOtEvwTng7RfX1Ihd+ACXP5RjQ+c
QmjYYp9PX5xlwlBN4b82YVuphJMH+WJHRsm5PEzzBSBEaKH3/eb1hXWDxkE9rnvrT1n3KGIRL0Dh
Qhm5d+bNF5aq2ZPsnCm/nOUsHdjISp+fGkbKvZGovjkRR+m0knr8swc/NE+tyJvmVDB2EfEe9JCQ
5jk72bkjc+N0JFqlsbUtg7Nuz+ifW5NJoRYWp+8NKhJKSGZqU6oLsPsHsTA2wsHHqhpMXmnzn0GC
zT5qF9PAatMS6FJgwKCnnN/Uwf5lVilL2noefCjbPzLQlHCyqoVtSD7zZN0HA7d8xiUbn7MNSQlo
m9uE1sa2pbfejlDxiGxLIxnhijPO+9LMzxhDsHSCD9roY61ewk5VLiMLfspfHbhMJzTlLQylvUyK
5UGyadCqLcjWqqdzjoZZw6l7EQ42KD7NZWgLlns6c3FwvwFMiKRTP8JhFh5KysQtUO9eCO0SjNwd
E0ij1C4VVDJWeJiK4gwxX1ltxtSZznAJHL8xCKIJJSO6qKLh7OxmHLPERe4HXdtDccqveuRQBMgb
Qa+FCjb3PdG5BpLkHUV7jLrQYGmzM4XKB+TpgU6GZ0cJYWxP9lgaZzmL8TnZ88v6mlMNHD0J5VGg
QphZ3oCHyz6ojbRT+OqXyZ60i7J86q6NXgCrTdsmjrbra/PyBjPO7yaV4mUkz89mmDRADzrKXGmB
Q2zgaw1mzPEwUJ+r0i8LX8x2nmrlOChzsjOm/oIDn2u+1UmvSRKAza3Z/sdzQ/NGGPU17sLZy1LC
OCSUvftJQkoM5eTYQFo9tvzyzF131ye/N3RqwMLSUWMA7Lw1/UoBpr9Luum0PlKX+UcqFxNWNgun
pEonUorh+DX3sxE+jzGNEc4N9cSMj6Z5c6QxoFKGNG9ZqGw0GbEWCi5pm4biiplkPPbGXLGMafQN
XDhYHDTGFQIob2mkdscqsan22/nPaJlSDOok9uVCVelUciLKZcLxZ7ey9A2to3IvByB1vF8ZZC7y
mcfhqC6bIXvXDf5ytkMntVDHDvWdybEgaaPFbbpfn3KaOqEOpgu/0RSQXgXjTw+J2Y0rEW0GE6GC
XAIraOq0y1zkPc2Ru36DMSX5lY407yKcWcdk2Uy0TP/src+NttglaUbIG+J6SsW2sZkVbPMUWPYV
vWifxT/z3MB5pzabMeutuuP6keY8fFfiRvH/HEmwYW5pj2QqLAeWovWGvsWwnxyr3qjGvOD5dQos
BanzIye2R46i6skdTDQtLGH9SYKxQbbQVWhFUR07uTYPJi7oWCWPFundsUsQ76FYprgS7uOi3kHs
jba5ZE4kMXfP2hIeX9v2uFXL4skMOOixqAmTkobWk1mdeRKgQp9bJX/GTnM2Q0w5Tp00+FLtjJqL
FTZV5a0RS5+FJmjlEp7cF8ZeMiS4zMzjzBwCwp/dfpmbtctm3RtqqB+ou6gZSnJEPvqYQ5HgBJiW
meC6R8rEQyezbAiWKWy8THhNWIaz55SCKW2/3LyYd2LfTMiQt1ghxUk3IN1Oh6NegM/RMizUFO3R
Ewr1F4UkVuB9QCbnjDIgE/SNIXkRQYdx5M1of4cKuRB1HgJ9mAm2OsL6NLhSC4csq1GJQJba5hdy
KfzZyzvp7JDvWgGYWN+dsvKFHUSsDSsa38qTam9DeN4bWrdtpkONDhitymABvpVm354maSPN+qua
EYeCC+xv3319KBB4pW5K+O3URvafw0BYqKfKxGWtB2XdSMvhMEbznKnTB7xbFLCLAlQXiKEMoivc
cnbko5rH4BYAkGQyZ0e6nKCpAVFggsfUQHDzmbKDSpcEOXbX0dLKPVL8bdtRZLALFpkGLAcgfmA3
TERT1AcotClS7cam3h9ZEVoxy59EacajLG+r0YDAtoS9yyJ6lDsGiD6HqOgkQwOywOr3MmuYmkbz
cd3MY8MAVqIWhQiQRT6dksSpDpGYqGGyTskTmG+kG+wzk3tBheGqWhZH5rK4+N6sz7Vzf08roduu
w9u60Zy4On4/lJchLwf15IZM/TdRGXJvpRWzXv2hDKcfhgIDwbqxHdo2eWAZrqF3ZwxhNp0KpXDN
MaB+u2w6ilg7taURtYxBIDEvZoTGrSjwrLaquGNBMfudLv9cf+863q6f5W8PideRdoWZb81lnWI5
LKc6+xCklckFVE+6i/7jtTWQ06K7AcizbFop0zdtzhEp6a+fFauG+NIZXznzL39ciPgqBey5qMa9
WjxRlKFyUyxnZqSHxEYJrqX1MnXaiBUk2eDkODMd9+TlGhwCMOQV7AIRKdSMwresTsGyEF5ik3+A
Z4+BudbSE9g4KB/TXLC4YkGUzwtdct0l2hBu2vLK98sKvfq+px3z79fWt65vwImCPgQY27JIs4bE
2A90NtdHGDaISYcsdPx++GdPQ7CrDQzttRkq/vpciTmKEWv5J9RiS0F/o0RXwrpW4xsXajEijsvk
cyKsGUSycxCVZO9CK5/8uCl+xznEd0XSlGNdlfjeHDBqLeu9LFTL47qXLHsF6l3Ej/9+8vs9/7vn
rJYco1IKqZovP+t7kxdkLyg1/s9/P/+3f7++YM7Bv/5VPyJOkCQNtOpy6VVVHg936y7qnULx7BEe
jFqSCDUyoPdjuUWVhcZaKxkW/30L/X647omZ2qa7vrw+Xm+z3w9zrd7kYp6O3djELkkeo7/ectTl
5oN9lLCr9fGwXEcYdjciB+nqRorTHNeNLY+tzMnV23tRE+ikVf153YyWhVKYO7KXmXFLRkkFJZLU
MO7IDNFQHHtxRGAStPtYpMFuClu/r/f6xNEAooL8Yt0dAQ+iW5YUag1/e+kv74r7ZJD9Medeub6r
8Hu5rA6zxejjryWH7+LD+rDPZdx1626VLnK1dZdVSw2Ba7lZrSUKJTIBMK27k4Z+HCXo/5Qw1BZm
UmWNApo6ZCA0YqwFXEU0jOt/fvhfn/n+kWux5bv+MbaqTd8YdOr/1GDW19aHJHkA+vnL7vrb/3yQ
9Qeuj2OMF5P35+Ovn+H7R8kJOb2oCrviZFkTA8S/v9j6nu9P8edjf7/8/dP/L54rAfxbtdyILQuh
A5oZzJoAmkMdJc2m9ttKm/fyMD3RuBu9mWwEotPrq57I84bkEga9uXhJYltg8ahe0koTTGaBBJFn
oO+UwLq16Vj9YCn8xRT9vbOi2p8jFUjbLBXbUuXtSglWGZ45AWpt9DwahYzFKQ2OpoOXNeqnxfOr
bdrWnPwspsAKy/RJKwF6VSglXZjCnWsK8TQP9kAAjPyKoH52oT/Tq7ZOVBlPoIAaCn4FAvzla+oj
q4Chh1orceMzrW1HH8WvmZ/SKEsargVyNpK2iDzRVNkO0tLvwIwQUkPv9yJZvKndGPum+cNOOjpg
VZKiJiNEomm2pN79hKBfu2IryhHMUW3H8HdoP1u9eSRLE+Bkmx4jieOWtTrC3a5n6IvfIrsrrlH0
OUwfmRMgxyKNQCQSzb0ieu0EySTo1Q56zYK0KMdjqGmABSu69NiG47Cmhxb2nybB25XsGDs1oCIB
eX4bNqzc+qZ7lSzz00BVZS4FjByPRsQ/dft0ekhHaJDplmYL0TcVjmo9M/1oKeoG2b1DaeJF5B8y
oaA9U667qc/esXd4ct2kGy2Wb/VkTW4Za6rLXuNl6Km2qd5XXmj+nIFI0At22gOuBoHoXg8PiTa2
KH4BNzU1f1lTymEkQebNdGfn2N27jCRmA87upR2d5JRKCO0onHSgtzu+uiJ2wNQRCYOiHBsdsn4V
UYfX7PeEM/1IN5nPr4t5K0fx0zwqz4FFzn2lSpfZZAKaM1stwO8gyQ2Og1wgucKGsx9CBcBho++0
rESWVesPsW4/2lV2HRzicsgBQEmjhHd9m+y6ekSerEpo7nADBhzyXWwiTR5QmYV5fy7iJPiURHvm
/xrgMF7hdmiWkG8GuFaH94H7vN7HTLBcUnOSkkqooWdHY5bvnLiRsQ/jhJGt5CyLabrDApQecim7
VjXO0JbzVYFK4OmVuRN1vVFKlD76MHFy9rO2pXPXeb1DLwCUlB7q9bHtug91mWSB8xgPQ/Uq6TbD
qiiBvVeAquDkGzTfmBN1xsWmOeZmIqpdlfrqCdaitquF9UB9NZmQJ2ZKsCuM9EetGR9GazwAk5F/
VG0JZAiA9SQgDNp1L3sDPfMdMnlxkeVLjH3As0ZWkbq6ELpEzu1Ao4nWjCTv0A3s4fqkyr1Z9u1t
Kr7kOX6k226eGFldeYwY+54IGIIQ+QAm+kC4oU4BS/qcFeUFmeI2i6K9g9wMyzXZWbCpu12aoQCb
kDwiZGs/gwi9UqA7j4ZVt/v61CetvoNzV7q1iXMk7olvATc0uKYecLkZx5mqFtM8m3Ro7Do5iRU4
MUt3CPrfTHJBjY/asAkYnMpctIT4JSDxLeSarXMknWfclkZyrQOl880w/QmWj3uAM27aiPo4xrBk
Y9VMQuFHempVNNs0IlQnIP2qMZPUM7J9NMiPKNFxcy20U8tw/A5ZXypb9T2pKxoA7YG0gbT9RArQ
7gLGKE8mE8OPiauqdCSEcddei2RARaiZ2x6OQImQrE+pSpkw8mxV/oxN9WRMGnkuQ/w+D5mnI2PF
2RCi7eD82haOuARq86I14PUmWHzbSXCg1Rchsi/YrGgUCFzYl8ItDInTt3qnTMF3EjJHR0nfnGDc
z2b5BCmbVlOZfvalRZbBjJk+0ekGRLqWP+bmEuznbLCS97fMOrdabu7aMnsQABI2oW5i9QmJ/ehA
omydSdtUSdX5kTJXpIm+owP/CWHcc+bhuQuzI/UrGgJt9ujE4lmauIvnauqPbXSapPGuUM0PUYAS
ZaiJrQQasqnBoqWyYWEEGuWvIcIIMCjiy1aKfYpNhqKcBeht5vSLKwsMH44AZTlAhR1Bc6cXHo0O
AuxUD5Ds5o7Xp+jfKq1QNw7zIxRQ8cdiJc3K2k96gdyxxxKIHI8Uxnhvc6vKdpnTXzKN4HfNCYn+
i3WYloXyORUgmZP4h67XBdQ/5D5o8z76tqPtuRD51RSpVaSgXRDhRv1J+oOKtGHpu1GhLoXXmr1+
DdvYD+Sw5NwATzpZntk1OLpyxCGzFL3pxoUY0etYwaiDqUajM+jfdC09lqyGt81gnHrTNK9KQcSj
XBbAJ3WSRjIblT5/tiTvRpZoTrHpKQ+78VTd15lCn1fUdEB1pJKx5qvJ/FpGSeXWSWf6gq7/JmLS
6GJ0xyA1pPcmqBtoGtRIovFdV3V5g5CTKVr20kTzyJxR/a2WtxCWhqeX0wAfdmIofDFTxE7vVZQ8
67P03pFbdxyDHiXTLNIDy9XrFBSgS8LoThMKwgCl2BnVHZD/mz03MMfR/W6FNKI1oGsVdiH+ZiKX
0LnX215oz10dQVuPuC9TQHjQJe3ZChggU6Tz91VY9DvE+xplHulBxzeGdxpei6hCBKt5jFkcaPGY
jOgxHMKsu/aWkqahWvFyQsznWAbrUMoUq/mT5ZZ1AHTL6KDjalMs6yQVYXQAW40nosm2QeIhH01J
6ASOGFrWc5U2J8jANyuu21Mp9A+4LK5SNcdShw9Br0bFDEktMEps3+zz1A0UudjHXfBLicanfuY4
SklNYFTQ4N/D0Eldss03Ts0MVqgPiqGBAUiuAPpcEmfxAEfEVlZtAj45IUZHFB9ZOZRb0mWgECeC
LMgWoiS5X5DVcdqrTAE1p72TpyYnDpHAQs3aJahvQ6MMf7PmoIqPtMd5baTiAdqDcBUdKaAtVzc5
Pg4YKsjBy8BqQ8hGMIAjQtWIxRseWOUuJMJ028DxrWCHUfaMuNj1UIYEOz2x2Hss1TY9DzGO7Sym
SlaMjObOJVqWIXP+gB2S4GRZbBQ7nS+TVt0rMRRgwjtRDEsIZztkmQ3KR9lCNDvPdXXvCBwgja34
c6hhpgkxeBE7c6IkjqE/ZXZrsVKUfkgWFbiWtRf+hKkEwmpvqTYVtzB2rDu0b2OHgJHhqHY1JvNb
2smIn5ZUzIXx08gL0pY7eEzUGnfaYvT7LKYDgxxiIkWqVKcHIqnGm6XJuS/jDNhQA4/p61bI15d0
UZ3sUkIO9mpI6asAXjq16ZdlINrvuSdt5L74hZflM5aYa2UWTr2QqRWJHfJ4N4yDnw5PBVPCnVpW
pm9m/aEa8MGVhULmO0MDA6KDTKUbz1Faq3ezjaRQp7a7yKdXk4YhcM2zhvVyo72m+iKo5ce6paBA
CUmuJBEKt4josOfEOGoGpUl2monLv8sgiFojTlpN9zo1NrclnRvuHR+9mRN6v9gzYzRMdPKD8+I1
ZKIVfcXtBdPqNuf+yjQSOEtePWjmIwwv5Ynsn80QDu3WsS1EgenGqOu3VlA47zv1RVeZ3JM8fY/W
97XS2g0FvHvFxltK/lnnjwqc/7HFuge84KFUJeGNOe4ZmSM+RVJHxSeU3aTqyYMkg5eEN5CpFJOR
0plInyXM4xtrPFp9lHh6rt46Gp2IL8ZfRD9MG2GjWAdWzhsDVDJyM7/Y1rIuCPDhaDBv9ABW6SC1
P3uS5jZKNS+5Z5iTJvpiuNly0r08fEMdbNbsacoBzVhx/qkhct3kuLBYj9kobWMJb0+tUrb7rUZ5
B30iGDFl4jyCpFU2JtYhi5JvGpXVHskcqAWrqvzMIe8DEzZW2mRLb/GCBBT6VmmQsQ2tJhq0O7nn
pjXq8HLBhW+IXARvHvc/e8Z+T0NatotS843E1p4Bz/YDrJpcTP07zfmnFNC9TtLxWONnsZUmwpLi
Ny3wbW0a36ci59upzqvIyeOULdkl9cAkYrFiuYY8hTN78CmknSyb8A1aTJT0KQCh9TmkjbR8S5LT
jOQuqKC8yyDxcnGE3xvHH+QWoAdoNAvGzcuQDF8N+qkEj+DWDMVvfZqvOYkZvm5WB/5mLNv0wsvy
ZiIGrnwG/6W6U+68prOyqyzxu8/HZzUKD2VImIho34M0mg6hw2S5cMwHuS0ukTQ+pUmAxkrqjuQq
74qS5OVihnYAesCwuSDLEYGQ0MYLsebHEoM4RaB3dSalqRqAAs+VGiKgptEc5nnrUidTzr1MfKxJ
hMGp06+0hsINoRyFG835s5wGHKekQNeGw33KkAEy09jkZKd3zEkZhR3KNXLXv8yFVl5ZpahpgHh+
5pBVUwAppdG3U9T9om/7FfXz8hKFx1Dl1Db1Z0aJTyyTxrbKtR3OkpoLg1iczmHUDgwbWc4YnqGf
chMN7U1CZ90NO1oLjiF8AO4vZiiLLVTU0H7g6hmMKmWVArB9WlACWfwpzxFJHrnxRupUO+FQKdLW
wszyYTUGRT/OydaSIG3SrnZjYVEfmWMQoBQT26b8iuYaX3Y0IcOfPpSCZKQaCXYQLB9AFsVeiRrw
Lkhha+lHH45Ltpl1ZY7wqnXaY6OKm1ZI97YS3zkJf6U8CSml5sMvzZl3dcf9iYV83WujR+rRc2gF
CigwB7Fiah+jqUtcIBKskKPw5qilsotyFNysQpkBZKR2CSeHgdjpVJgZ1SYFyDC0bY1UYldRmb33
xLB5HApKemDwhhKOymLodqOpVl15Kns3tnXlnFJhiIEPMmoP71rdoh2UvHw2R3pkLTbtIXmZlPdI
Vd7CPEnwO+IKKSbuzp3uxUJpr4rtWhnGXHU0L5CnjVMFuX/U0cAhp8C2JJ+oPgHERgC4z1q5vooM
Q2jfP8eTEVyaAYATIc9CVT/KXkfd3IseWgmlPBIpHqbK2iqdLPsE3n85Df1pqZaPRLeE25a0DD+y
Muaa2jDxjcgVJRGDSuJkbXBwl9veeCC+67kfvpyIqrepPA9GjenAtn9KxjNsQe5ymsiZ81lg3Vgt
0ifCIM8IYOFawMWRxB7Nr0NUWVejkmuoIqFyLibBm5ip1onOzCGNUeOialJaRhC5s7zcbm+RRFOw
TnWGB7zWEalavfyBQ6EBL2rUXqUw8vGZI40k45qeucJ0tHHky7JGXZRTrhIoNRckX2kk1KJH2Oya
srJNJKzMAKaYfps1ecz2Le5kQk+GbNM7MLGV2XkmbOiry8uvRVMCmetOLNp2VioBf+O2jl+iwUGH
HNsenABm51AS4wg1dWtMFyv+pWf5zQC9fSBpWXdz5p1i1gilq7ULhurndlLoEpsFMB+8EspLHvTE
C5WCwRgzhtJFvyQRxts63Y+s7r0ur564aSJYne+tkNMz97Xl70QUIaF0AkqpmXEARQ2Xaw45W+QI
6pMVq+CPK+ZmzgNMibcyycjgQv6imYcqMYFVaoS+UYB2bf2SGkgMCHUkjiq6UY8bXIJ8b5ZB+xSZ
Rd0OT4QFPsVifhjH+D6MJzwM1bVr823TXAFSvJV8hUAQt1b/qiIWG4N0a42Z00s642JFbzMTLMDC
FN6fy4XLhDZU7rQ0fFcD7XlWUQRqc7/rk/oriSysK6wSRN7ZW0N6tp1pX5GeKHpHcZtYCLcM+LpG
bf7UZ3FP3NSzFkAkZjoY6Y/2PD/VpBvslTeaClrGBJFVKc4VnC9dzhnT6ADEMH9tuhnNqNz8nC3r
p5nXlBCUiwwpFKTwT63vP4riY2gBGBc0OHI5eKaNdF+TdpGbxZfKh83m6iuM0seMyDBMYbNHxTJ3
lcL6cDifdwTLvhVMsN05ZkhK6gkmeVe+w7g9/Dd7Z7LctpZl0V+pH8AL9M2UBBuQlKhelicIy5Jx
0eOiB76+FuDMp0xHVFbUvAZmkBRJs0Fz7jl7r13XzmMB4Mo1MxoFY2BOhZ/p1aNlJee6UV8drXkc
nBwxNaPi0g3v3RFZKTqOXyTM3XvRy2Au1mvlIlqwLGr2s1KZKtWOcs6UDods72zVSJj7mtxfYDRe
5euafFXiu2qO39K2+cyjW6OpkTJVoFCi1r0pQUyVnbiGGoIFxbhxeuuXRYoA8dVLs0onULDXyy0z
NLpIVNoCcrwTn8L21TAbRKff6jFSgryd7pWQpaBDHkkWg4H8TQ36f0Hf/ybos2z9Pwr67j4LPKlZ
/6OI/13U9/uJ/xD1OeZfmMVZSXFKok/xr6I+V/3L0ii8+TN4SMtYMHj/EPWZ+l/cZdMc/KcW8EvU
5/3laBZyPg3xnAdG0Py/iPo0Xf0TcQVX1TQMR1N109E0EID/LurL8IPPeaVOJE9UaNyHeRfiJTIn
1moh858GplqkaFd2yXmvq/awcXUT9AqukqbIrKMnneyhokhtllKrJUzOm/Fo2zHD1tyOuo0zcgSw
s368lE5zP3hA/XOlRTcFjMd3hblFO9zb7gbZHHGcHf8wPewiTDgjhlwOn68FonYffT5dHnYNXgti
g2sot3om2pN5KzMrvCvfAVnHOKDpuFkkHMyDJ46xiOwdzXoB3t1M/EamlW+mnXuYHKpZiBuvnkEW
cIaxkJRslsX1YCdn2kjPiQAQTMAdLoADe3x/jHTnDUpEfVhSGacm+jU0tOIM9l3KEhKDK+9Cs2MJ
MBhxAGXZCQc2Td2FLZn3mbqVttHsGxRJYKVCuYli4CpZYqobIoUnEGAQmlRlTANHr9+NKf4lQkIo
MTE82xgzyQpT+003ET3ZZ26Q9wKxi63fOGGGYD8BFIVB5SY1boaRcUvKDKEQSPeMwhtgDMyj30EG
C8aU/DTH68Do6Oqwq700vp3EFG4SMHOl3d8w0GrPmv3eCDoFmEFuDMVwbmwny7GeEcNQV1WKcWFI
t6otdb8fnXRvNDprBNJLnEkSt1HhlSA1Ktn2KmnH4BCUg5HEr6ZueXQDSXUqI7KbGUk0fjkTNDc7
DaliFYkiA/HOlXskcTJ14deqSvsz1MofNWIM1F32tfOc/GqZlPs4gZyFoUKadtPezFmmBFkZXbFr
OUcHD/gtPNbNWJpvjpa3V8LbLghdqrOC94G+o3Yk75HE59k9GKUyPRFKhV8Bk3WSDt55mi1nM6R1
kC0BO2EXPo8eXHW7BInZMGXeLeiMfdEWnO1TQbqcjTrQjeAopbZJvJ+rj8cuK5ew3sE6SPFREzlV
x2G1YcnSHzTOMFahfFJhwdkcIbfWNDLJ4TYeOPEKbC1BMvc4+xPGJE2EHGcYq70KmObCU2jltmwn
VHykoCht59vYVLs+wpGDryuYq55xRe98b+kEHdURbTdOz2jXyBblaKsStBdXW+pVd4t28oZu+Qes
cJ4yNlgHsRtGTfgd+RRn3uJxFhpbXBHfkA1hboacczK2uZ2qq6qv9cY3r84emxl3GJq72e8azrCh
wkfNMPSVk31DPueMB6sfF1u7/jjR18P0MNx7Cm45TR47W9f9Bjj8IYtDgLHKpxt7xSbFQEjDbAo0
8OyOTB8xU8pd3mLgrrTiV17Te8LOvCUM3WB7oZSDs+NqUX2xGA9uSLY1tkXDcQvF3Jk3a9zzLb/H
CevJIta2hPN2sGKdd+mUgLo8eYWA+1Rr9aWpEUShoSYPz8vbc5s+eynCITIUzAqRUWvP+X36XRv7
j5RR6GYeGbhNmEtFrCpYRSG4ojTDOQx5ku7YnHwLpWbBRALABClorvYdsVgsFsAz2+Y5BFJDzU9c
zpimgz9J892ws/mkIUgrxl4eBoeCgjC3bG/p3lOBfJYVWszIONUo6sx4ANDKbBLURyyBx3QxxLg5
68kHt+5rAzljNWL3IsRdoYXoHIYZHpgUm2g60Gv1imecfF4AqYwO7jnt5EHQg4VTIBhMH0xX14+1
Pvsxol9sQ/Kb5Q6AwjKDxMCCmZxqvJYZVUw7dTEN4UkcB4MoTEuz6mM3Mg2Fce4PDcGRNkOWXd8E
kyygfbVW8zKbHOiG9qm17GmLTzk60pRO6ECKcy+1cGsbiyTVvHd6AudL3JlVxGyhTKbnKsO3Gjut
+/BtBuiF3b2bdzMB8PhDUdBZUARSWkyUqZOhpjRNT8aikynwsZvGaRhS+rbEs2y6LipvUpu8iNb6
ic2DFTGJvd6Ei8rLnZ+KZ6E3ysODoudsvzX+/qY1QxZFCgFnKPRIfp0d68PMtQeVedkGIoGyq2k0
2TZ0clnG73NLIFEXF68tXkuSchMQomqk4aKlWdaGSHTDo8O6Su1juWsNcUBLh3qk0o5RiWndC7tA
AWsP3oJFgQ4vJzJ+SbvAJscBY6opyckI3c5aS2PTpdDtLJXmvIcHfk4f9HJiU2jBgoW18WjoRNqS
PMUqVnZH0rNp9xjaoYcfC74g8mF9JP7cTXuAR+pkLM2+FtsVOnnSrg300LdtH95LWBc07eTW8NiI
GKyWnvYmmdYxPZrEnpDRZKPofdAigjix4m53FmryIXMfwRfB5nV02jzt0q1Q+2B2XX1vVCQi0dRn
BeO7XN/GBd8xuJiDTCk87DC6rzXwGLrYmaK6H7M5KBM2OWyDxLSE8fcemddNhPg56VI+ioXXrGZ0
tYFQyyTGuM294qg0KfYADWzv7Dn8zK074IQffro9MWG1e9CT8Ec0Oc/e5KHnhAQSWWDEVFZKqZx+
popL7JIRxfw8w0HzTB9Y+M/BcwIasKQwWq+Ex/y0RK5h331pXIUBVnunmcNrhNjIT2RzVZILB4Vw
iyHz3Np04XiDbZEwgO9uFJOegWIbNzJKwaNknGSdvt0VHAu2XciksGknyIDwzak2DuTVBHEfWDX+
4WjRAbtT884yMo8FJyJbnGjEX7RKUo6YxG/pSXTJW+Na9v1LOuWQt0YXrTwbVwtUqAxFdEgQq2zV
RA+isnxFT886nqPb1imdQ6w1z55Xh3Qg0w99lMQ/Krjki/55hhrGdDXVSMSlNTM6+jlqpwMb9w7z
q7KRFXa8oaNekegssuyhoD9USMm4396neTGid7UPMOXrTeY+QZ5l4po7B1hYO1sMycYQbH1mWu/j
cVNRW1UGNJncQgrS2biZmKKcCOIEs6+CeufMTj9uEfysF0MLza7L8nKHjZcT7gDWgADeLAijYTzV
cE/+5WK9b1VArn9gA6DktHtCjheZXvb3xSrdq1V2WSXar1q2xELsHjtQz/lhEMOxc2YB/ftNLvPm
FC52ubknA66r8C8QyT0FSfWYp50J3pFmyCqlXkXV60W6yC6/NNbWYs1bP4iyqspXieyqGF4151ML
fNrUGGkvomJ3Ncf9fbE+ounkTwwhsE2W+9e7vl7j92t+vZxWhZwlqymtgkS+r7rbsn+MYhygRACl
h0pJbwXjfkKywthcYmONkzNPRE26YUBQAa3yVb7rzgVX19ddb4ddQnOFcxYocXTP9SKCrVe333p1
vfPr4o/71lf44z4CTXzYgPXxj/u/brohFrckIcedZKzUFwJQYbUYG+vlIkoB0FT24MAfXW6bjvWS
VWR7DF+yxeVnXbWLGX1cpJHL7Wxc7A3rzwz85CVPs3BHkCT3qU5UHhvT+y18XB+8PuyPF6xTxha2
I+LfisNVZrheqIv2cBUgrjfjxoLh6Swe9r8lmem6ja0v+PtqFNqvekpq5Ko3XYXo67V0Fa1mLdzR
1ug+fotioYwC6iIKDI0TzeFVmE7WbBCRQWxhtV0gCuvPhqsVyevv6+t3n9gczWm6MunBmc4Ba/n5
VnXyeu1LsTy0IMZyNdBnc5HyL8Lk31cjiRUxc6MD8NsFjdS+rrvReuE4Cb9CtexRAHUXXzCLGq3y
rC067xovADvRNKG8XG+u19TlptknkqjZ5SqxbCkr0XYXFo59NKryTfHc7lzGPahX7kHWUt9x97ZR
qvrJQgRfcyjR2+l7I8NDOs3jg9Zc4CalD25MJkMdfqsBkGF1HeKdpJTep0CBQB2GCYoRxq5m9VSU
Bjnubn5fGAyyCYlPDqKcOF12RrocL1nM2fG0K+el8tBpWJoWslJkTHIj3QxI6QwHSNOSYw8xz0Dy
tNFmh2Fyot7KhXDgxQagktpLAm2kiiDrKEC5FyNUaNLzsHR2tT7Mb3W95Axpz9QuDkvrCv0wPWUa
m1ZUXVWLaaGl6udu7N96vSDwospaH3tys0sy3fBlNEHiGIpf7OFPJif6AJClt1GUWBw7okL3OQMr
PxvAEDKWbxt1GSraUTApk3njuSCYOCvg2O3jW92gItRq9LTDKiBN9VZu5oSlJvA7dNTLUXlYhNjT
Khddr37d+cdj1r96izz063Flw8CshqJSGwSeLX/LVunnepX8hG5fjtC+QAOfZhfxlrZcrDd/X7As
wXCHY7ruTMTXLGdwIM14TEjKtUESUyR0ni9tdkNcA3ejSlrn+kJI0aBDL69Wpyi503oeA3u8+/pb
SOKjT6jqgKidR8llia9OiLGWJ3bLxddLfN0saFPjPolzv4kXe26K5uq4CIJXI26VES64Wa9+XWRu
0hwGewiSDBMN5HocG+v27+LvmLJCLktQsIXLfV9/+Lpp1x6SghqpzKErSPb9+3FROv3QIX5zIPnn
UwGvmVuNOg+nHN/X+r0klQMBIISXtlo5UBtdECmTSbn8GuvvYLvxoiJafuwoL71pu17Vl1OPaliv
MOKRBKi4EteLqQPdrTMVQjQKJL/3yKSCFlFuagsDJVhh/ehSOK2m6y/79eom/+M+k5BJhFkEMful
GfrRotQultOvN6wfGRWIdOw42YXzfZnHcaDMNuIhishhutEXu5He8ynXa32eT2BUBmBFmKUYd04H
q9ePLFyjXc2uQcJkTFd7fQfzekCkcfsPa3s9mPpi/BD++r+P9kQyY0UMT61gJ8mUBhbvd2BY3Wno
Jjq/qn5Y7eu6HRNI77r3xuIBQaPE+ZFcgfa83h6zscRUFzLiS0YSBhr0h9ARIhTsJqagwE0/V6/4
eoEuw8yP3eJTUHMFV3qUTOXBU7PTsNy3XgBfhBvo8HWv9vL1eesfOgsQ8iZbzx8kJnAe6NJ68gXw
8t929N+PWl7o639c/6/1D//jfe5qyfj6f9Zr6/O+7vu6+fUyX2/v675EsrPCtZAQnZKX8OuV1wc7
q0fr93v/eo7IXHGcAXJ/3fX7IYru0DWxCJHrUGGf5kWgX/WRva/q9Lra68vJiXcdp16W+OzK+F/K
E80rUR7NRSO63glv/hmCm9ibSWIfyWTfOovBoYzK2Dfx623UdZP5g4OwbtKj497WYazvyVyq1N1w
nxiYddzFLRC7nP6HGUfBXEDxBkGjMLVczsNV4nAyWWEL65tQ6/5x0NEuu2DwoxibHHBILF8FKbyu
y+QHWGl84iPgIG9PBpFpgTBrgpEUks6DXMdyGE/anZa1XrzllI1yFyv2+hqcxfEyDbPVHmqijStA
oIcYYTpWdPn/pIDffv//ZbBgaGTJ/CdSwGPZteK/tj/qMouLfxst/OOp/xwtuH9ZvBSOfyaoDB2s
v3EBrvGXgdvfJnyK7Brd/ZfJgmH9pat0YpgfGTZtV5gAf+MC9L9oytKzsNB3AyEw/0+TBd3Q/8AF
mJ5jqZZqOryoTU7nnzE+XaynRZ3E5bFeUGla2DuXWHZPuUkH0hlf66FvHpCAowHHseoLU7MuyXTu
UV3S0rDdw9XJPdifLoUPyt4Qwa/vzSgQSkU7GWUERE2E4S6cbqe6gs+uej+TJHM2ypzSxRsVGuBm
gg40xi442GPpR7dEVoBJS9WdurCjweO5fj4ayh66feiPNn2LKTUOLaJQ34qAp2e1G+1NRNWIfvEV
qFCYNqxGgecSbravRm/PQN86e3D2bWiaKSXeDkOHsmF/KXcea8ugDOOTO46jX6sAuow68g5FFe/S
CaBJ2EY0PQb7tkE62jRV9uhoGQteVMlHmc7HWOlLX8ZadVZBCRlyoPeP+OCgi/HZEy5KW0abF7jD
3ejGQMB1ezt5Q/OmGOOIDMQ4RElC2FUWm3CXFwM/28tSAH4QO1ZwgKH+7om/XOamQGk1WooaAUjw
PZtvWRlfpl4RLwDTjglR3hsjXkIZpBfobFUY5xxi8AbjvUYjAY9bFoEWBU6sWU+4kc1dGUu6Nyho
wCPmlwgpWod4+oSjOdqGu7wcpx8zFoDceLaoQc+GQpRMEg4PBo6e45yRsMH60WUoSma2Q7yEnT+Q
XWJtU6Uxr3i6cxK4l5JJwIQII0c9W51yTu0pO4m0jW+T3ht3CHyee/yMe6ObpD+D8LtkFWETQiAw
RLMeNjVHXJQ+aKeGfV2Y2MZLxk3VLC9q7byMJZ1mwwIhP4Wq80B7x896hbGYBAJklzYKvq5PdtOA
MdVGKcvU2XoJEUK0TNiRRkYPjKuMvcySrSsrsZN5caci0zsbtkR8oa+UcHs+Tymuc7qj97VjIOFv
0PEQjjcPSAAqhVjZxmOxo2TogbI+sf25gj6QAhTagpw3MLB8aHxcJLS2cwejm7An463KterHhCnh
koV9ca/0i0FObXqwqb39KmLciQmwrqJSC8Dr2dVBkrnDhRSx3RNB7crpJhcOgoL+CaFSdRZj/uAW
+i7u2keycefTVIul5SPOlWZfvCY0TjFU46MkePk+rDB16nkUaEV07ExZX0DoD4ziTSMQs7bUs1Do
XCaIIyRPTLNdc26V+V6WfXqcvRSa80eilPPJidWGDSh/RCjHtC+e7sso/CDNNvd1B6euQVN9sfUU
eyE95lj5Ao+M0f/LgeUtGU6+UhFdDl5FO+vhWVO+O5P3JGPgnWmIqklaB34oMXTEQyTuRfGQwpQa
EAcqbI/SP31Wc3OrWJ53od6+QtPFJWJ01xG827U4RLdIcc4leTdkSrkKLiP0PmainzrNhY6lMPBB
QjPsmUydwhGgXNonYteMen0diKzxWrn3yH5/qvUXNKbob1CaF6oW32Lt1Yh5QhilKc6yyHniEOTc
DUMHC8SgFizCZhuXtLrsHAze4tLJ+8rYeR1LRqGa9iGRiLvctMT5Y8tbqkjnUoLaPWSuMmynGNpb
Bxab4U73kFdyOCWxDeN8mIrtEHXGDhE0krnKi/l+9O8aE+QtBlrvoIruo7HTfYSd9KBEGck6BmSC
1qw/nW7KdiM2Fb9VFaJHEje/8zG8uOehVp6zJNT3sZHSDK6okgobfWM5lTOrSYWwyWTazaNYqAXu
L9MLX2pD5MvAB3KiQrxO+TopHcNKN4r4bcOQ9z1e+WqZvkz5gyw+86ztnmsULUgIcezQwldNjOyE
qKDYYXrpDts2Svqg1vR8p4QIVAZLHUFoQhKkTe3jLYOsOX2GFdjlRjrkjmli3reNfE0sDatfD1se
J7jvFcU3MuTlxqUBtEX08lzAFfanZe7aWOEFz4G+xTb1c3blqaP57RN58RMOJblpaRt0NTlGzoQG
dgmmNjQH73+mHZjNI3vDFbeNJQ5SrY3Q6kx7lovslEJ9qSYcYaWR0sedcTYsK5U9b/04eiKQbupc
TFMZ71xNMIqCX17b6qlzkAQXMwcOHCr06aMh5zCPj2c2cQo3yqsZR88kHMS47MFlkhO9rabh3Rrz
kRmMOx48u8lBlco3PZrfXZGF96TC2aPZPzQ4FKbUuneZQ6HihpzPxBf2p51YxObwIRozvq8Fgvtx
Ytesmef73azsipSJMpzoTQ9TeK+l0bK417YK5I1TpoFa9ExIwXOWtz6mKLe35msL12wLNVk9ukXy
PgP1QHCNhnE2dwpHukOp0tJ35ARCxypuc+wgKLfyGbjDMrlixEhRjPrcKhJrx6ibIneWO1AR09FL
Ca6ZjRrBoy2OsO40ZERxsSN95geiT4ZV9GJmMjuX0Z/lM0ljK2EDyyTZeggZmJ5Vd7adQBnJlWM+
LpbNaKbPY35AFhU3cyIMTFzgJLT2FzlLxDE1R7XMv2nOUD3kffRayvlnYYTRDg8EVocJ4BCEyask
7wkzJOjxFYmkdfWba6eShLto8EG+9H5oEfLgNI598Jw5f9T0NkhD6MQxx+9F0kxbhA9goMy/J1sX
9LcSfwOGw5g3PDLag6qKGGRvFmN4suyofU17JFzxeN8UmvjW60xJLYSWVdJZT26oPHNYQg8rWiRS
0Ycwe6IA0hTiHFlYO48KBoNIqR5Ten5+CijykeFkiQAeH4lUOeYR8ZVvE9GE31gef9entr3VGPb4
XnKxI9380avIYwdQwkxItFtXxupZ4O/a0Bh3fljC/RZW4Q8QMUOgmrn5VHSYMssIM5SoZ/Opd+rX
3gQHhfmwZz0kowfL9sgEEIw/5ynTmMDBdMLFnJ46i2iUvO9vjJ78AH1WqqMd4QgKxScaM+R3NuFe
WDq7Q4/hCmKSYV2Tge/DMkvCWGpdHA0pgiodzF/IGDg0ZhcoMJ8k41wc4VQBfhFJDoS2xx0REXqU
TkgVMQTWuLVOCopE6IHtxS4e0pyQXCmqk0cD5mmdS0Hf73+Opb3oIx9iF785poEmQIi8Q07wyFdF
9xOScdDR493b4QwKKasj2OHJjzgi1TyRbsePYvllrUnfGmPxZCd3S53V5wh3MuYujigs/E3ymXPv
3q4j1CYy7vxOtR66qoHYFIRl7X53Q0S4DYrMR9QZxk4gkLyJKVc5VsMnypAim3GItBx2tNmWil8V
xuwry4aT1m6yS0sGQYqzTBoL41fSDBbpFiaEmUK9cwVVUvNqDlb9YXQkROpV/E1F67LtEczeDYnp
p7M17A20M3ZUvoy0wHwaWLhpFSveNXlS+qM1i7fwrjDim9AZxs8I6rkwxfw2Ncaj4ljvjVeUDyBd
MC11NxyPOIK4BlYyU17swY2vGpsl6M2hPdjDN2tABpxbVKXl1qto4Gr1Z7gsdh3EyVe3N8+zyBWc
Jb8MlCJn6Radn6gJVH8mAow/7QZfUopQXDEHuNxDiw47jO9s08+jWHlxOxPK3gCyx63UaxkqIsCb
+AGGNPWbQZuOZTi+yrIBrq/QsJxm7y3t65sQVHqQOI56tBjMjzFcVtcltETVfw2LsYy6BwNEp3Yn
I06LPcsEvA4joU96dy4a2I3qomXW9fhlnQaw9EB3VC7wz+U56xPBIXcnYeZ4UXIeS4X+WGGwAIWZ
ehvWWEk2n+kAvxRq6WzNfvwAvAUgCx8Mx8CWKZ8bvtgqhgoKj34JARl+X3B8psda3TNsUsFPz2QN
xgFmDmD6iX1ban1/oAC7QbAS7cIKassKalgvhoW5EvfDmwaqGD2qhnlCpUGNqM7ZTvWut6FAEGrk
bbNez3EcMR4vpmj2VaeVdDoXhiVIscJPq8pgFpm8agDQ9l0rb5WGXqZmjcQhpNj2Yx0W8NB058jp
aK8Js2HFKenML0gonUbMaaC23Bn5sJTN9jtWMAUfGy0Uj6CUTR+2T3KcUJS5MWu6OdpHeoagA487
rFNxLy3H3ltRhzghf5il81D2UHXEOyz49NJ+iN6LWD8kV5CZ1pZ4IWb1Gn41cqyCULHMywg7oojV
Q9raXhBVprjRlBBlSJpAanCTq+vgdk9Egp06cTau63g3/Zy9lKKUCErM+CEdFhS8vUW/S4Es0uRB
Y8xaWfLTQ6j8CLIXsy69v11WACsH7gZ+aO7fFMjLW8DNKkQs91tBPNGmXBV91qYb2CWbpCGxA0td
Oxjt45yQDIB/4S0Zy+NU9+KoFtm3LnPezMQ+tJV2cYi9EZaHzSA3X5X6RpjjBvsAC1GpQQJKOGn1
4Xzt2umNcIM9cqKNOmTkYKGH9SM7PLnLkU2o02JaCFiYnNMC+HV2m8Vw4/FySWDtpqVOh4FVcS36
/lig1zp2CsmckxsyG8EXhyiccpc14KZO6dd1stpmwl6MXurVtGEAhtalzwfzZHTyR58QdNfF1oPS
MI/2VJp0Vpin51i8pIOLY8e4Y9+9K7r0NTQq++S1ObHU6q1p01mksF9fiAahdpRVepQhk6um4sRR
GRpmUzQdzvyqR7l+Bh8/bkTtsizs23A7lBXW5mXz69J8YBVE+wBJxzkkYDcIa3xLS596yo1jJjP7
BJ0NDHKqXPth3LYWwHgELEQVLO30SOcz4euayVHQez/2sD6pU/fIgec+7uAqJTlFJNA4zDY1y5Gd
MSDcH/JrzOSd/jExGqS6JVqwBsF0MorOdOjDQGk/FMxc29pzui2jIoVFYH3rjrhhYzJ7fNjx7Wb9
/Lmidax6Fk+1a51MQ1pMYGbr5AlYjhavV1W46s3IyrbqQiGblmOa1w2P5py/ZXZL/A0gn24gW5a4
BwO5i/ukSTgl4KzggYEk2yBh+Ek1BMA3whhsCuug6tbzMIZIeXrloQi3idY9oKFNd2k7QCFycsRC
QLlnIAnRXCVbTq8vKhRtRBiCBL7sI3fRgrp9YRJVfFBUamUscZhxM1J3HDNlFtSBru9ROKhI050h
Fj7azc+heGtQnTzq+qc9ey/5GEd7PcWB2UsI+MwHkVG4+iET13wamAHZDj5dpQwIyfFDMWqgRdp3
TWrHQlAyzbpzYPR/l0Ta907zm6KzArNT31p6gKfShRa4MK/arkuOJROosCE7KjGW8PIfHh2JjSXb
Q9tM1g4jyJKeLEnd0z8rRXo3t6SJet91OmVQAGSXI1unMxa50dluXJA1Df4QqbeY8yeA11Nkgh9D
3pQaw7UdhSALMAHBHLoHwh+Si06pv23rJtqpGQa6vqkw2e7wbWzA02CntrSPYcwg4xDPtEcBabFd
2udQiXCKL5bX0tDkdeBRiVU+qxXRW7ONETq3Zr8BZQjwgGQasm5AAJoYlR3o6fRpBlDXnd75uBEI
yyxLg7RJWN4eK2DJZn2ss3FXEaBGjmbQjuUnWHScKAKAnAPkX8nGa/UsnPYwjJgKRP3iKahwMpHd
NYvJtIm/6wKqm2oRwZLP6cHKnWfRckAraYXM+i379T6ZAHCN+WfVsjnoBrloROcBZiYlW+lJ9AxT
fyS8ZQYstDGr4oeKqVxK+1Gq8McFA9k0JF0CL/eIMK3D4UfEncFZzjMaxqoQC3OWcY5NPkU73zjY
ksqxpGYxgCmw/ojNDzcRH/QNPZE8jvA0dqlh8APV31I7fWNc+Nm0AYhfudFkRUZHd7BC6x6bL23W
PvtRCu2mHxmAFAilsnDwU1JBnTY8Rmrx4dYyGMuxIHzAOqENQR8kih0ecjSqqg3lvFUD6MrVhUXV
mbC/u6oklr1qrlG9OFWqRzDe8XKE3yfUNxRHD+wjbVTdF3H/aesk6TaajTwKrIXNl0OLok6qBxpM
p1hX3gk8szdowvYVQZKq22F25TCP/fwYwgXRZL7noKYQCmfc1S1J3d7IEbc3BVXr6+zVP+fB/EQB
8pybNpbkcZe4w0sDINUrxp9xmIICqacboj3eiTR5nFH19kn80avagzMPvgruHefgW59pcGFK+kdW
incflsuokAhHst2H1pbQnVp2H34HFiq3pk7blGVC4MV2ubEi7Zn8+GCqUnLBQaySu1JX7VspraeB
VQCxVaSZ6WiV02PTm/jj0aUJ5YA/lZTbkq6rdWRkoxj8oKhG0kpLiI4ySBXwfLqj8Hqg1NG2yV7A
gvEew+bBYRWiwlfdtK4isbM0/uRW77SB70Rg5h8lTiulrm+MeuDEqqbA/oaJncqcbspWvrc6QlSk
tuVg0VYZixdUBJiENPwzKXVZq9L3LLPPiUgqhYg+0Hasbtz8OJkH7LQfpOy9mT10zoTwR6agOOqr
4ioRcyvGHXZ9Zm8vBZ+9RBXnsU1FmKgInQ5hNEKE5YdNQ31D7LC52Kda7ES4bbBWNnARbLhaOPEy
sYEG0RB5Rm0tLOWxEKyCwsR8SY3nFK+hZ9H/KHn6TA+6LUD+RfX4qzIRSVep91wr2O5ydwYdhATO
Co05MBIVoTfdFm8Qv5rCuG0t1DGSrjZZKGhEOkSaolBvZPk50QezC0gahjAORecqR7t7kHNuBipk
C3ocjGXTaWfiOH6xuofGG+H8un0YtJ64CdNGsCrP9tkckuoax1cgKRSmNHMKUqP3scKhV7M0G/TY
cKh7Ijs00dcYnsd31ErfC3R/dSzOSIfwLIU0VTRE3+5Un0AndeeM0YQ4ImXqkXKGBWvFyE9yjORK
TVvKJK+wVTrYJWoC/cnjjOc2NEpqgRMsnjpaVWE5XRR2K52QDT/OJT1Z5MrkqJgBPhYdelBH4YnL
VimSH7aIhmBUcZTmDAwVNv2NNeJLdB20+Xps2ZcxPRijuwH6o9Awz2nwO0AKXWqgDp99bz1HGt/y
cGtb2o8i+wk12Hh2BROCGjyVHqrJGX+ehhvAQu1Qwr/PItRjSlbjb+4JgY11agyNvqRh7kRBpVX0
RN42On6npCNpwTPbIJI0P2Xcs1KPlJ0Ikd/VVoVkrO5uretMbmOFk36YS5ezHOFaloAMqEylP0DG
mnR1EcI8zBXWvsahJaE6ntgJjKMpCmIGO8Qz4TLAupCOB86L5lEfO8U3W2J9PWvx04fFCxyVuzqK
niqPDEU4+q9pS6aPNZjXnoOWp0n9AAnpTpUm3BdU5Lor4hu7xjYcR2QRtr31UDWY1SZhsmxJ+/da
RE8tvv6N2UQcdyL6qqVe79SmeXQz0va61nN8TKOy2LCYDFq4KPjs2K+SijNERaOeQTN7p+uhrW9M
lVrEEN4dEWR7S6Nam7Att2wHl9qboVC0+pHAZ2oU1/1VkIC4LThW2bNW7HppHwn/gTGYvNaTUt2Z
kY2Fnc2wLaIFydDs1Bz0DNSk2FMxaOv11qkI/lmy36hA/pu981iOHNi267+8sXAFJLxCT4PyllXF
op8gSDYb3iYS7uu1wKu4T6E3UGiuSUezfZNVQOKcvdfKvlWpkZUQz+gd6z3iXYuoeU5zPpw+pJ07
vK4pYXdRgzOtfoZZKTemDUDRHsEOFX210vLgs1JYintDRIvO9AFTjHS2YaAs0o7n7bp7YdqvVr36
SeR4GMwc/E+3kqIkrq8575ZTXCaaRU5ZAZJAdJd001shUwJ6fnEfXP5R+s1zgR4RIuPEC5fQ+hBu
f/cKRhi+AZyqshkohCTMtWLCgYzKA45ZXg3OylI9n+qQRmcz6hWypU1iFdnOGOTOcBVvfE1bWO1I
gDkg5nUPGOnENP4J4vEApwMXzvuAHp97l2ZAy4X37kBVkjEmTZjEXLm8x32Jb8mcsDP4KQMF9hCP
Y4N6kEoLTWod+jy/mO7P33z8Y4/N2dUDASmBtR+pkkcRrw0faHNobfMxeajy5qPpW16x2bvNcdcZ
hhNtqSXz32Wl0RyxHTfmqtxd0/nZwKRNO2bnNn91BjaHtJU4c+n1D5UDHlNynlIYd5nbVFc3MfSv
bBfX5DVXjXAPmq/+TnxKOtv68YYMYnXFn9KHu5zXXmx+moFcizT/Q4x6CP0b3RHkQHPLx+9PQnfY
vgbtmoLYrbGpj2Jy88N07TrhuY7lh3TTdVPKF0551iZW3oMa3LPmJKuwoYe20I3sqVPtW2UHh/nP
auz0XJTWkRPrtjXfah9rWT+vnIaDwb01tvotOdJjmF9qt3jzxXjtdefRR07TBluaPm9CuCe+koSM
VmIEmpMEK0lhyIq5+phQmo2t4BJJKX+2TtvrjItU087PJ/qECmziUaca6RRzqYxzgGrj9BTL4m1g
0NGSw0crdsqd6mj25XNmPfFZW/Eu3VOYXSv2Ic3gX+xeXeavl4J5luTJhb/ygcihXjq3oJUffcVU
a0ro6wI4YnAEZHgm/WnBLuj7Hb2yBLgpzp4m586I4HdJwBrKwljfQJu8op/l0y25A4hH4XgLraX1
70xXB2pwY5Yb1tnviW1K6hj1Tfq3wnAe6jHaN96I7i3bFhyLF32NYlGJDUlEMMfFuW4Ufe9UA44I
hdAn8ZIwqdJo/i7KCNhJliUvgzb8YasIX0K2y6oNr6ZKHwl6E9rKut3QNkcrY28gNQuRQICTp7Mu
GJ43iYr+lBkL16iuPMZkL8yeI66EDUV3AfPA0cXFeQisDwZbx2zsxIr07pr86E73w23Ri13JU3I+
rXouj5a6hs6wbnmNaMZ4ji1jGyfRXiXRk0g4eGvmZiLrnspqFwQa2IqGbh1blwqcczWwVYIp7AXh
IrPVHZP0Zu47cNndDhaVRC6KJ1HG6zwu7vMLv9WSzzJj6sE9reweejoPlMpX4DjeaDceG81H+GzT
PPGeWbS/9SkcPHvAck7Q3Kn1VyyGNuSAv4XpEXpFFj3yll8YyJZAy/TaEnESSt/gVHfWXmAhz6VB
JjV4EkwfKs4vZS4ehjgGglZ9sr5+l4O3M5KW3bjIt27/XVgFGCg6jdq0aji4aFxRvVb7mgz5R+XW
8yi8Z8DtPHVlzp+idZ5GymGaJvZOW7+wx/yYOCuq4EO3gxvoqL9pTQ+gSDepnd7YOe/7fFqmuNI8
8hV+kVx0qIVl/eREasWSaoMh+Evo7IEd846uHM6D+mYMswP7Mqr0s9H0xyaT7znveq2oTgBK3kTV
v/ctOIeQIlcH6gtE3XViBWuW7L5DAbAi5QaUU83DDhG5NEpd8nlO+CxM41ryNTE978+Muar7CGlq
Qz/sWWeTBiR/URv5NRme2C/9BKP3gJr+QWbpR1axjHOTXRaFp3gaHjzIQ6ZWnCfTOjZm9RN3+CbS
7mhr6s3kTeUQ9ndGI1/F7ExT/ZbJ+B3AyyFr8A0lPOCiCqOfI19tzT5BC19B+ltULobpuHqIXH9n
dixT9La/mFN16UVzaCfzQcsNxs/cL73wIIP0pIz+ieHSveGeghspfCwNCBEjHOeSlzZXT9vQZ8wI
qmhxpaawDx4Lu9cWILRI0y0d1R4hDfL01TTrjDqMe7FHAegCCiIP2iP6TV4sgcivQXg1gmYTVTTb
YuZXXGeIrLkSelFQMLQixBbk5kh6otqUTQMi7WJ12c5viycUJ+vOpCBb2qjIAcC1enXJaLwo924m
/R70HuEEJvyheLPHwtzmAyMgd7y7zjyN6SmQ2M1l6qxzMoorPJUvc4h2IY3dKJ9OAVtUOc0EG/mR
q/ixzJ/8KKLP4rqvo/cR+ON+sIfvUqvYpBgCqEL6GCy9OdZn1J+92nSNPPVSvkXW+O6CLMlT/yXy
eMshBMss2X7jHjtbTMFZi2wrSk6zCbdlTlXuh1asYi3cpa6bsxpjs0EuBsTDsfeZxeUso9PynETT
FvssVxAvWDsmX6ae2J47OO6CzI1YK6PY1ByzloV1N7QxXHWu8cx26+zD3SEdcOAZZxdb2YvV8bbH
z82fPh11xg+Qm3aF0fDyY/BkW1fOvD8jPx8Y3tr3x81gXJw6fyqzZhuat2GKX0kr3x3bpmjNUV1X
jMvhW1VzBaLaaFrEgBq+omNYf+e/Nx2dm276x6iOzpHh29DXierMf2FuGXdwNWi+Iv80hOrRj6io
zI69KH4Wudi0Xfni4tedzraB4iIYLJ5DiBdmtgd+lv3z/IuGvH5VbsjjXvwjZNRCwHGeSlHdVLTB
ZwJVMiuLu0ekxFLTKs39L+DlNEZN+1GfJu7k/mriAW4RlAmTYSi20pleZsxFYstNpcmthB/iWAxF
cFCkbOUrfMmCAbNMtTM5Zqpf1FkhdO0at7tQVmJMaO2DXl5GzT2PobkPAbMmk7m33jrFEHt86uDu
DPEIsFBhkH0P51FmX/7Qbfxi2rp34OHNcBAnpHUK5MQRuzDIfgLLOwcRALvRqfeeLj9RuTxSvF/3
Ktp7BRMcZS75C6gPymw1TlwiaeVtGeEt1eh+kBDVkUJNlywrD0ba86mkYrSeuGst3cLVVi5r1WXS
AgzuiA2wgSqWsAs52+bifb5khnJ4c/K6WLL9AXonL47Xmks/0Wt04DsfBmdAauJsU+6k/t4dcID/
Zhr/P1fi/xb/JMRJUvO//o///j38t/Cn/E+iqKef4VP+75Yo85+/43+lPn3zH7buEY76Z0YTLtG/
Yp+G7vzDMTmD6iQ+f4Of/wJKmM4/LGARvkde1CfuZP+HJUrY//BM27Y8S9fZw+Ff+n8BStiWbQCM
KLMRFev+z7//m20Yghq+57uCcKpjWr+x0O/PR+qk8t//zfgvuLy1ri5LRoVJ0+0c2d3rTs6JFlLs
peucHZ8LnghIQcAVQhg/Mk702T/ZPGPwS0RWnTBhljwfwqLxmkcGCp/MmQsKyi6ygGkT6d2Tb3Gg
Mf3oVtnevUdBx3l7BRTTBokTKZIv1nOqOeBTdCFPttl8FoyzNDKaNVHAIeZcaLg8GMHKT1iaqSrY
NV62YRv4OhWEPqyoOKWVl7Cpsm81k1n2sFS5C/DWyh9iYE7MuBTL30JO294DDj20R6HacBVOlMy0
b3ZjOJBTAU0Aj13OIz6pCwHNCnIcI8b15O6Z76AEJN25Brm4VYZ6mVk5E+9m/mPFVtPiJ+nDruhd
CvgcQ7mX9wDu4kFQuKQYrfAbBvKj9oyNaqyT+h2aiYjuHp8PLpVudzAgX8IGO8RZnR/LXuMfIMJw
SeRdnNkn6RixvX9+BBFAnH9/3MCwu8/mBI5rGVSm+TwXZUzWhrAh/wtLnsgXD0epmQ65J9RRkEy0
SwHB8sqELbyWmIyKsp9O02gCzsODy4Ck1q/hZDOHyhnX/H6oyqC+YoZI9RhymBgjDnmx9eR2UhxK
FzeSnXfRGYv9K35sDVhbSIc+RNnnal5w+f2G5w7tUony3plfuT/Awprcli1B5nDrD0tW4bnYVlbO
j+noxzWSJLsk1hJmrzlbHCTD5a/UiQcJYZBkLFxzCSJFLCEPz3JT1z01I4McbaiONrSLE9d1FJX8
OSvkT9F1aNz4IYYNnMP89hZtpBR1FzFsQXxffZbjZ3S26i7HONqOIR1GegXtvWgQ5hr6Q+eTyjea
Z10r+Ub/CM0puP9+IGyew/qyu841BKNPnOcu9xa/OR6djvPR1NHm8gievE0Vz4ijjmQykebbUEp4
Fmb70tEy+Ur6nG3wZFm3jkPOAYrjwFRMx9nMXf448pp2tRAUhUNx2RuqB+r31owXKde6HhYHn83T
k3DMB9+hBe7oPam9RtzZXCG6xToa9pUiiQOE3WCB9l72vMUzf9ukFsdEb3AeIxr3H+DAyKQZpXcf
Exv8t+5GuC0df+EV3bTPEob7NV/nG1NSpFuQPz68KdxX2BK+OtEuA8DEPmrmZ+mW0y6KBm3jSVMi
FS/XJFrEBYCjWug9UedBs4mHj334wmSYHQIPvmtvANyUp3jJOzvUISTzs34vtoYi/JXARNmllRpf
XWm8jqlWXqVl8jTVyHTvBTbDECm7P/mnRk/2MZ2kSY6wPmZ55z/IgT1XaDj+Nhtij9SfQG5ayOop
cjhaJPzVmTS0dQ3MgwxVIw9OJ559YZ1p5IWfucZivQmt6Voa+niOUuJaIh8sSt1Geqwrk7IWIF4u
FD4GUa0f7gVEBmUTBcZY1m2gig33PiKQ3tLjWP/+Ck7dPrNOpspEfZdsO8db2rjDzbba/lzE8eE/
foivZboFo4nAzSFnNRTVK6PRfDt5pcY6mA/HUXCSjAL+VTnL39lFSgryEpSpvNmTSp9HUtRO2n84
tTedeX4snmABPcQgSy6/HxE3hLscZRyDeU8MI4d3rkBkU/MxPI1xqr/merjyGtt+GodeXRvbfyE4
xanFyXhcEdmtLQse0CVZI4dlJquz/Gw1Q3bW0o4kJCBOj3Viio7HjI+BeLIoJB7K2ENo5wb2vUIH
sxizoP6J/K2qk+7U1a5YOVrlg8lIi3NRy+bC1w9fW9dFWxcgMjOB8iW0NHnXCiM/Km6XK3rP1cat
KrDhjolouov/eJ5x8TJd+x42ynD2mRuOEONhogMQ0pe/H67KGdDTqFrsG2nxRM+rij5u+mpRoDy6
GFDxrOfeG2d2Vmy8vGA9k95lqFW+EVo13eaNvFtwzGK6EUbV/oXF7DCRMS5Vn3cvuBK0jR4b+b7p
As7tviREE2oB8xh7XjuZJNRblypQV1vXZpQFMB7ewnWBZk/BXmSD2qC5havw4nL6A8/QxschLh6C
svJJJqt8GYVueOCfnDy7dlYtomx8E4HPNN4K43uul+rmdTnzMj26173FtTpwUKeUZXYSSXtKa6+7
sjDXeJsn6rWxUbTGiNwdQrzPg4SNbLkF2bY65skAgxlIOP5Hvz8L6tVNNU4E+bQPQx0Wo+M209V2
1M0IJ/I6vz82f8gGoFxTP34hRNSevfmb3+9R1+V22dnRuh149AZR0B1/v8c+PFyStIcIGwWEHkLu
vkPB5UlvpDP3kKmKCFGtEgYHi5yY3DUz+p2byr+Grhtbv1PkRizmxtT1uA062SEGTAWBA/4iq0eL
14+3M0M457zwWTDV76Zj9Ps0DndRpqt9XsY8pifc2IF9LkTjBqcqoNZVtMmDOECuvoLFym8aV9mF
ClNjozk/BmQuhodauc11asGpkPWxS6ts6cT6vQ/iZGkkgbGbzMBZuV7jb0q6/KZZv4d+viURCe66
S/sdurkvLsITFBDNv4QjcSee8F9rN03OnQVZvPZBUgB3ptDTg2l33GU13uOO/YtAuklyv+WvJYlG
EJxCmfvtjskTjAeuqCm29sigbDLcDJvltWzqvwGkHciPOvVavQX9bFy1lsCRKbo/5jDu6TDOyjMj
ZkRmkzCyknrnJS4LAUu+Tf4sBCUW1eiZ2LjOUG/6uArobCQrKE7fIQ4ShujFC8NJKv5k3m1gKyMq
PD/2X8xafBu5dm5d/UHTg2GprHevira94d1USUYsyXqS6i6LxTpX0Eud51DJF/r1W+mQkKwVa61q
/EnBni3sTANZPrzaQfXdwccCpB8eOWq4Zm8QqNFXLN2pP0e3cIJJam/0Xgcn2QUfJdH/RfFHxQ4v
5lYt6QHJbaiAZOmNQbqDtGDPGMXObAkUIvwWaYO0O7dvlb8gyPYdJ83bZOHly7ptMQJq7eMc1GZ2
qOcpwWQbr2Wr3wM3fSyV72+AkVgufH4yef34EoBtqUS6qkKbIY12CDsYWJN2aIBm8WpiMw4MqrsO
cjZmo7cm8PDYmdpn2subHup7niOh0tKidxGxcCUG9zY80SYjIKlVbIZngGikAKw6EzAvMocdlA+3
fxLxlK8mMugrM6mhrMHW9T3nm3Y0sDbBW7JJ9rWw5WJewQ49HS/HdKBaEfSyaoactGZ87vX0SKr6
UodA4ptInjg/kcIoF24U0HI3hgdR9MhmLdrnTQcIhuKVrwfwi3z3AnSRCQz8J+oR6LH53nzsjtlb
rvPwjWlk8ZD53TsZqSOR1u+CkdNWauOTzvtx1TY9YGrX3OViOvWAVEjS8Eb0dQP8qu0uC3+8GiO5
ZDPBt9J6tIaYTZM5U/cxzY+5zqaw8HTsHWbF+KExNrzU8c159CqmUH/RS/Mh1XE9DL4JZcBO3qca
JLDM+H9LDxQsbeXJF6QWZPcic/OdnkexMAz7PWyyB1MF1DY8dlUjYWWL94ip1d9dFfcLiXJl6TxT
lftwPeMr8f5wB7gGDZExsyI/QbC5kN5fLx+/LEecRMuIXS/yhu6EuqZytldkDhMrcsKmBzHX+unI
kIxxfbKqH8nOcJmX+QmO/t5mljKnAL4jO76RqUINYVefRumUxJ9Hbl8jiy/uRR2KVyfhtcx9YOvZ
w66MojMH5jej715DZT9KtAle5d9Q/l2J8Mz5r+GdwMe5rNH/1tqRoxGj2ib6ExkmVQtegOwrApDb
ctOpBOJq5Vya1Dmqif6rDW1YXxPgAtspr0GR8qZsCl4kk41F0eQjrb9qRnJNKuvD1qkscP91NFKM
5TCVm04qhiHWjpUg3RxKC3qySpr82nUBvfnJJWbKHLPJ80vogLui9dtA9VhoKgpXTIpXlfdhpT7g
oWn6UV5PWoH+knSYyiasj4NgyaGBzfjkpDuzjy94UsgdG93Vo0XBFI5hpNqXmptsrA5ybiYpPA3x
WdUdq4jWMLZOjFzAqrGm1uwDtPITSa7aWy7ssIJQ9APP+0QoENU0Cq2m5czSN4/PgU+h5mwB3Kba
EV3dJniKS2Cmo6RpAjkVTOsmsCzvO3xM7p4y7yxB46e0NF+DgFs75h4Uj0F/6GyAs5yy5N72eUkV
vsJbIooL+IhXI7JIwNMoY0E/MtsnD92s2K1jm9H6s6wT/VHLniBbMGKzK2uVmdAeVUcMuiZbNnI1
IQo0rmo/RmkWUQlxYEzAqba32uBFXLudl6iNy7XtFRc3HZNNN6/i9MA9pnzVjhr/U9lG+9HswnWl
ZxdNw7xV296l7z1JoAkdYeLDyLIaf1Xp7bTyuPQzoB8+nMZVe54T9zZjYXKBpFrYDb7HSSkg1fAU
X0idvA/wIcoY1BN8AjdMUhMOxOOGrkr9JvNm0zbeeuTB/57mcUcWz/kUJiaEsOTa92FrwlqCt5x2
rcdzs8MXf1GbOimu2L1BXdzwWOst68Z7dHJ+KmzMF11g+2V6zsyvcWZG7IVWy20MuMC7mX6WCpp4
kQTe0dcoVekrFhntwWMHvCiqEcQxIR1YFvGq8eM38CMZ+87+3Bf632g0M25lcbGrUFevjdriwTr0
N3JmPTQzAyMhA4el4V8f//4g+NHXVEyQD+cf73Pabw5E1P/0635/OsFQwdNYvf39rQ3ByTJmGPF/
/JG/P6mDId9Yg376/SN/f6jHITjULOMmjxttMHuodZdgX5KXXJZ7SJv2HkfUQzIySCr6nyjnMNuO
MA0F15a91IgOC63dl7K9WG3DRFVQiEFeUSjnzY67r7Saftxk/KlNEhlqZG9L68ns+58JEseiLKMn
bmLHPFrWfkuiNuesYJPRo2kkfhCQ8EwZrZrKOJdjzKruzzSV7iYjP8daBDZjRQIgLhimKlNfugSA
ltKrDK6c9O/T+ZtupGH/+70pIx3Z9TXccYVKVPX66vcnf7+J2jbfEI56rlMC552IP/OItC/Ns13X
WzWPq+4iG9RAeRQfR1LSdNFxfKyMGZtT4z3kdk138fD7ccUz/gEhA4bgW8nOZysTIsKFJDcaME0a
WYkcUicj5m5zOptE/ppZU7SZXJhNNaGPRRElH5PHEL4zQ8F2wTT++Y341/cc5n8cpULexAMhaa8T
6X7s4ayL5J7NWWTJegpYnnCYwen3VoQvWR8eZZqvaFydfbv5phn07MYDoHo+4QMm8VWf5qfeJJuk
FQfLoI2TTGfTAGVEn/0UavUa9vdCKH0Vl8AJBmAsapVRLAl4bfCQQkBgTleThJGVWNMJS3FB3H5b
Chi+W8ddt772UcOMXPRu8RAP/p9q1ttKWuccEWxyQbBoV66f3ZRhH92CLVt9Y6NxrgqKBKR7YZ8s
DF37aIlPMvvjiF+vbZa8tYo+jEk/mzUWVjmFHTO6gGlK0zJsoPxS+PUqeixSEexM1T/4A1s/zeIg
lW0mTHf0lxxKe6lWnSw9YeMFAV/VBvd9cRFBcknnDOeQKBzpZMY6HqiRXaf8N11ewUWdPZXEEa0S
URpPUV72NI4WD4YieDW0bstmjueL4eCLi+U2hKiz9ivwoH80SWCvsGAjRNubemssLLP6m1YzPUc7
eKMnj6TiKIoxEfAKHn4Gv3youPAvBk4ttlfuMZLOoNGu2pPjWQ9eRXBVneo8eEaZoq90K70k4DbZ
KV1Gq/C2jfU+BsGdPvOcaYkOZXJVNiubVlbuMrIjm3OjcZhUu82LifOlTABB5q+B8pCQmPYyiyMm
rMjrKmurcjdfdEQvGFJVvPRJk1UN2U46PZ5PAKBxCFliV3uObC7eVteEK61+jxg7eGCOeWJa5I38
BqN/aK0UC1WcfCdl7q0Y3DKZRKgk+jNwq4/ZnnQwJS/OAo2M1Vc7WoMRXVaghdD0/oyjqR5iLO85
7dwh5TaWef5rktpk15R6SkiluY6amBH1b3UWs5jJfnpHvhrWiIx7+m7p1eP3TlEHCZcrQ9Dv8+me
iQZVlq7gBQ7kL3W47G7qQz0oD9GoYMcq+6jHJCjixxz8d0jgoAAH3oWVtjda5Fhyp7WvCmi4CTy8
B/yLX/AxKQgb6K7x0BsE5rI6lku6ln8bEOQanKyyTi4lLhxO6OcskAb6jNFkhsLCu/upJxZcyZXo
9isG6WpVVCw09cIxN73DFc22203XRye/C8J3VZXfhoPfFmg6VgVAvDhd4hvlu7/A33AJAFk3/MFf
AdDbOIa812DYLXDstHTuoQCUlPXco9PjhIhFgm/PScZROPsEzkgqaia8lzPrvQX6Hll+tK0m6ytI
HPaoBGvw7ZRPcHDv+VT9jbhQiKn+SwweNXh7y+b8vmucaETCFi2+pnj4CrgoGKDoPd84t6o60OIE
3VN9KHJYXKdWcmbYVyWz/84o801PK9hNoZ6SQxfvzUy/98HgS8+4Z/XSCqw1767nUu9vs7Whmun5
cubo9zNR32VqBhNi54/PKgf8G44YeeejKv3jv63W0mUgYmyC6W+4BSiw/dbM79eJbxoA/UvA/uNM
+E+wa3Pr2zBtu2UGqRr7W3ALqxAD8Ap+N40HxenNGYuHkv5kO4Q3Mm+PjsWhbJrJx4w90A04aAes
sgeuGmuXgT6LtE2qL9Y5Nsiox6Z7r2d3AR5wm/0rE1+P6bTx3iM5iGAnhwh41i5nQ30O8vY1RgR3
diPQ/eKzPfsSiEohNMT1x4FnKofb/ClWefXkZz7yFq4IACw3YlYwzC6GcbYyFPwXovdkonDry4JS
FfYGmfjPYjDOvcMHCJjWzdRw9ZydDzbyBy/+7qQ9ni0W0Avb1t4yNBEm614erfyVN6UvTQh4q3/G
o2Xw2+LL7xupzXjpV385fDwjGS/X4ZCtktlNUXvX2iFB3Y8+0/bZX+GS6mF2puH7G17d2XEhZtuF
RkKOiRS3ScxZwuC5yElPrMf4szCAmbxiuKPjEpgtGpHSvwK0GkYaXePe+Mpcj4u8X19DAwOHgD8w
zk4OFAox2Xgm2PPjdkkxQ58NHs7s8jBS/4Gv/r4rCjQBs+9DGyC1hRZjo5T/YOjZu5F7x9Jx8YQE
9jPFto/Bxh9ChiCIGHB0/V/OuC8qu9uqKzdgTFdBT32X1xaJDZOSCmsn7iuxp60QK4WcI8dD0BAZ
46Hvr907Opg8b5MO42NY8fcD01CbStGk6IX4ymcrigQpMFtSbKWee7Qp+exPmWaTSjs7VaR+xMAN
z8LhQXtGduVqtBm5ci6VDJ90bxHNhhZ0IVNcl5sIUwPv0zBhQme8T8Zn3icvoPlpMaW4D/z5ClmD
PRm6T8dEo+n1EWSEzjh5GefQzCNZw0ulAQput1xH29Uw22W62TMjBGVXukm42qW7rOEusPbaOIow
RGNDtO9mYw0D7pBJG9iJqo2IhSG2cWfDTTy7bqzZetOiuO8zF+kEwFNW9wNXrIbsn/860U4z+/Zb
1dBXB2sCeWiHFzfzb1IwJW3Ne1sPr5XpP3Qhu4wMIQ8TW1sv6KhGZbHLNUaUuHW5z3JDi9H5xGh9
4ok0No95fydnKhZNxzPr7AAaZxtQ63Ij6KGHMV/390H8xdje5S00F3epp5riHYgWt2wkQwOyISt3
+cJFaYpgadmFhvu4cGTbbSJRvkSWWpct/4Au0ommNEyVJ1+tyUmEYGe82d2Co272HonZgFSjQqqt
zt5QIvjmePMMs0xxEtLQyOBPolf5d0ColIOFaWOXs6sPHjkwHB4gg40+W5iMVr0YPs9PSl4GKvxp
cKTkUFNE6C9aGZkrcOckmZW/yKBzuL+upxWHJXSOrlMPx272QWUhZqhodkQlsy1Kn71RdY9Big1b
zoD805ocQskdTdigOxezdcqa/VMtlBPw4hsuz2Do5n4wOygyLD7hv+FJT6uzG3LNm61WkPfGvetX
n5ZgnYT4qkWAxdryh5ovGW+em4xELAiUPBMwHTdxrTOFR6Nlo9MqZq9WaYAtKuVPodX2RpPmxmLO
b1QvRste2pndXH0cf1XHQWLs8lB3aUSb7OTi5KTY0tH7UdJj/s9eb3Z+adp8BcgtVtAo62YvWF7n
zaLrcof8+uxlI4RaCJ/4Lp/xJkRqoTApkKz1Z+NYayodcCotG+neeKB9ioL+kw6buxjRlZmUjWEi
me8wXMdt0CoAfkPzITPmW0ZMYyKazWcGCjRjNEioAjIIdNgcHlc+UyNyVsWbboiQ8vCaTNmmrMXs
VuPIXu3k7FurGsxrcebtqgmwITX9Vd6RZ3OcP72l8wTjIuxRGOlIVTqrxAE40cnkT83KbNkXyZNL
Y3AhmAQsGyogCyoVDX+zYCOw6lhzUbaTH/bsjxtmkxyp6LXv4pYzkMyFGra5XNEq6WcDnTO76BRS
OuXyQzbxOI9oIVbrQ8jmZcVgjB8dHrGX0eWPiBlEuNR8YDfE50Fl0tA2Zh3e7MVDqDxru6fHcXbm
jbM9r6rx6AkPo14f63OogMOk/Rq45s0aQiJzMVNCz/AIdBfvZRgDF3oBpIsSFLLiLusC42iinyjc
ekPxiLPtk1sJd9VxgTnkU/bA5WETs9Yn8IomZ8nmydwlrgbYKbT0TUB0cKMGbjKVA+IPhPNPzMPf
MsLhE/n2pinpVkPx7vNsn47jKeplv8uzKVtnlrPvoetwNWygD8PgUSx7kj46Q+6o9nFGQjn12dFl
+j7M8CIiQfwWDsgYV0zLATbQVlPIBkHObgrJEcFqho3XKfiscdssE2SHvOm0txJfZDyLI6tqJfFI
UvMccOowUJlRFmtrBKzTZR3Vz5QGZFf6cjO245eYfZUZ4kq2Z9lKzx/j2WhZk9YKVDqwpOWNEerr
skzSUxHE90D1HDw8/mWzIbO2cGWyqt3FyDMTtpOLtlGPPMdulI5f0/g1bc7OTWRU2yk+SFFc7YLF
QsVz9kLzsse+C/3XoD0ww0FLqv1hOgfRw9lSUV8as+cTqMklmM2fWtIhkUUGGnUVV03KTi34wuVg
VeXGRB1K2W5Vzi7RKcIqasx+0ZGJiIVw1C7EgVvoY+U6+84t6PG3KuJuQlkhcThvBg5YfX4Xwzb3
m/xPsbNVDuQmwnMKJp5tD5qOUuBFsOdJDvvI0DW+Ci2UR1Vpl5reb+S6z97sUQ1mo6qW0GjMNtVs
Wg1LnKs8lhw1ynnsDxiHEI3Y47tcEjnC1IqydUTdas4OV5Y7C72VV0wNrDrMYWEIGF6iA3gF3hwD
HFY+vtKQ+9PobnqFuaxDEnLZ7I4lPc0qUTOfa7Sy3eyXVbNptuvM5xj17DSHcy2WjvvOgO7b+P16
Yua/0SXEmKCYrpn2YGltseV1dzZT7YFQAckPdLdi9t6OPMMR3sFyZSPFraPk2XtjoH/MtJfeGvfm
7M/tQ9tZCp9bj/5j9sQpW5m9pDjO5lkQGwf1qfPw5VQkhIg33LoOGoKf8pWczIGTq5ejm3EokLKN
fu2Ex/qtMDfjVNWEW6YdzdFbN9uAoxAvcDqXns0SV3CGNDjyZwTc7BEW/5Ow89iNHNiC7BcRoEm6
bXkvbzeELD2ZdEnz9XNYjTf90HiD2QhSqZxKZPLmvREnCBTO68y9aKmLG9tGBEXosB10b4BV4u2I
2pbDPKBRcQa09EZ3kJ3InFzsmMvU7KBZtB5iP/hcTD7EJVPdssfS3njOzs1zSDMMlzXyaBSuBpNO
Npfbo2JIt5SN+nTmLGV7TlW21Ctru2Q+aXwbjVeRhZkAObfIYs797pxvvUCt+jraBRqZEENK/UsC
3tbPEPNWlLFdzJaKpnxlkffMzJK8apPZKNydYG2krNg2YJ5a0fgG2ML1OYDjZxXg+5IwPw7SUJu0
g/iM1GQn3OY3NBLaXOmvKGsP4gg13pxP7VTxAeAAuogCeaj4HOP+xre1g2nAfh1h03pEXbdl8pCI
GcfcJ4eAMOyRv8ZU7fsYf7R2S8AnOpR1pJuryHELwDhFti5HnUNd9fO/KblvLXK3c/Q/cw43jnz4
VfjRhJU/pHNWt5xTu1VJfjcK629zTvTWifYOiPhGNvHWMX5HnslC5FfoPJNoRyWtu5O7y0ApL3Ac
/TKoep4BxHNcm6BrC/C0e3aN4TxTDDbBSLuuV7mOHysHTpB9OHMyeUJEuU9UeeCQWT7M6eUDlnvl
bCNFqnlJvPk4Vhffn2XKcQRbl+yTgCYurAGz2XrEo6cgAdh8UgFnOoTFrhLHeE5Tz4lVr9w5X90w
H1ocr0xVGBTqCRft4IXBVL2hWcH/hpR2UaIVTRtZwy8bV4KOxjIe8nfHc1toKlyWPPLeC3BqCddx
AiCTrczJhNe4YtoD+0kJRAlZfvPDKA5/rYXwCtvTQtGnI9A1O4SGdXAALWLJZVRloQhxFAccT83K
MOfU10fHreh0EF+vzTn2pWq+kXaxiZoz7k1nbLejZUH5aEBd2Ka2LWOKTcN4nnTtuya19dDIcl/r
PjjwEyLzISqOTYh/v0wc+p3hg2P9OFnS3JbJdBd2FRlGuFiHaLgM04JThB1XgxfE6kktGp2JHI2K
II5c4bHFROBZUl/GXqgvKqfFqNmUL7an669OY9/Xlv1Z2ulrmGMPFsmob1jVlHtv02DdWn6aHJFG
VUxyKDjLorXPTs4CmYJOoM2EkcrFbUfCzH6QL2kDpjqYYbW6XX0Shl4dcvKlu6C7baXVsjBQYpYz
Hk7WGm4e8rdIYyTaConk2JCjUFViUWjZJRhxFhlqHG8MF3hg2NaHIK71vTPpNzQO6GEn07bGjVKx
GIODq3atMIDRxdjjWjr0pGoBXAshC8xfTmWcBN9RzohtqOQ6cfwt+SnZNmC+tNJNbd1VQz+b+beD
HVw0zAl4zTgMPJVcxtF5MMrAuhdZufd7DF1DaDzEzKJ2w0y8I8vlUNqOge2oOCgG+zDA/bPmmoDr
B+PJoENoCzVt0kDXyP/qjYNpeR8JOaSwZES2GXMgCXbqLGDSsGvBJGuIDnd+LokGm7vZvh4/G1MT
YetpP5oMpT+hnUQIaflqrOmQQdnaphZkNiMjcYuNMB7jwm/26EB0lpJ30k0kROxC2zB7r5cyZgzE
dxivYv22qYgpCHo8r1jMlV0ZNzhd133+Geh2+pwF2V2cWZ925qxbmWs0YwkMqoN1WvmbLurvMw4F
FLVtjfd13v1quFmc77ZuX7SqI2MROHDg4nvJSpMYKq7Luqy/nTCnMPXdhn0g9pGWhCVTHfpS4u6r
wj3rFKP9InqBDMPqayHty0EGDvOO8zsmXulCiPqbLLku57SrY41YjqxJDzkH9c7yxEFHmbS3Kmrr
vpwdcGsXZijajOndYjOMu23pyCRd6yVTjLh9Dcw6Xvtp+9aYdUDEO1MTKuSfvpagTZoiApDYYq4l
mZvbKZC7fsT5525yjeN16js8rAhJMr3mzZIDuQzjGDp9kTCGcI+SxcadvW+q0l90qvuVi81XD/Gg
VXObWJSxXHVl+5jHfgvozxnpOdnWyo7gxLgsToQMBIfRRmYP9OapMG0IfqVAO2taUDQnrdjoESsf
WpKKsLrxo4aS3EJgQyjl3pa1LraOP9mbDDrSEuHKcxpTAvZT8dz1fG7Cwr6QuThedZLU8OkOS0/2
j7pS046MYoO8YotbqqCxwdSlwT7yySVXGxEdfVx2nOWw9a/f0U9BrPn/v81k905Ix/+94zg/w9+n
kZRCS6eK2uJoJAVJY/Mdr/eRlYPQ7vozfXxvXP59xYBwypQaiXcQjxG/uj7gv779+/x/fmOz2Jje
/v/5Lv68yT+vyPWumdb/fUsogmTlVqLLjg6EyD/v8frqf97I9dXMax7B3xcmxIQS4vqKVepM9Z/P
78+TX2+9fvn7N+kuCOy14iDd++o9xCty8PKm3GNuNPctjNw/UQPX765RA//cRhgqyBFjjga4/iZB
ZEVXDZXEn5+v34XzSv33tgaj8wDXYHe9/c8zXH/758F/X+vv4/55GlubZT1GaCwNhz46nFbDoG4I
b/6+kcrUmEBcn+u/vi0bjlVCcHk/1ycvyAvYmIP9BIWIrblK9XHjdfoNZyH/5PlLMuPgo/nLP7f9
/fH6XdG6JxfzPKyD/zz0+t318dfvrk/y90d4wC17n6Kl3fKf1/l7v39uu/6YXWnwf+/z97mut/2v
hwBdBbzQ2MTFg+T/+4A/f+715+vbgjOYTMt/nubPnf7X014fk07+wW86uYUN3B6agrLMEBpe3PlH
N4gZo81f/vlRH1orW/zz617fJJO3Sfy546JDars+6O+Xf26D7Ya7bRD28u8r/PMyfx/7z0v9r/sZ
PnBDVJ3/ebfoC4nSOUzXm68PELJnBvjPk/7X7/95keuP//5a83O5G+G0/s+P4H+9r//5NNc7/n2v
1/tcb4tQkK171/rp4jl+SeEAjAxGaIuibxl9GLlVt7dh28ebP8tFbz1rdpMF0zky5dN1XShp4R2i
pCz3uKfciCs43Yccw3pK2FXPls2xtPkilmLZMz5aXAdbpr/1cUSGdITFVB/p1tWCLbYj18pI7S1/
88VMaZ3pXv6oQ/baAfLZpoN6hF9By1Ejvt4FNLwY8K6iXgg3MlA3jVGeAbOhLOuomZt8vB2l+hZB
AFIEPYGVtOw9mMPSA8Qtmo3jSocMSctPD7a5oX/72fBoSD8FlIwoIh9KxEW1vRiNIF6bOVVSmJ7z
mbpXx3qJe0ZGJ1zf+Tmc5zAllu9+zC+5gRaAITY0BKdAEEApzBRdrgV5W3ey6mCEjC7mzEm/Ex4+
twlOteWwXR3cF0oTtjYtyWFg9xRtsCbcwPiiEmMGrnK2+nymq5K9Cju9GwI+QJkbo7YONDAXcz8G
UwtC/+nJEtm+kPKMSpfUuEa8VX11IKwum1Eh0Gy5tlOhnEi9oe0Z0XZjx17C0QKq0Z3oSrDHSGgD
anrZrEJ83brFFCBoRbzpKz47uyVYzIuiRwyzy0mCXNAC+GmSjXnjjTdAqX4blw/GU/4bM3XGo8o/
hSNBM3HG8xSJfjCkHMgEwvCtSAbJsLMS2he9VOo3IQBuqetUBAMcv20A/0GT7a41GX9rBNLFAq5C
L2iny6YXa2rjZ2rJYdNUeglpo/l249s8ZGiPLpDHOrSSt5Y2jvcmLGYQfRqVeTYt3SB9bxT4Esb3
+U5qNAhkB1nDm4x+K8iU9NBorE3BHx6ia9yl3t0Q+/XOa3jTw4TmM8QKcNAL/tESFqeL55Bt2MIj
d42xAedSa7Kzj7TfNsA8Xw/n+QgyE6c9Ayn/YYRNmdwwHqjEO47s4FKa3VdF7sTS5PRbIgNUi2FE
KhdBTV0KHepngLuGMUW/qvGGiKYZVhnyLUuk2nZKQcE4oE3mhiwzHLN9CeIUMT8IKTRrCvUggdoe
r+WgJFsVLYms3aDGQ93Z6Oi0TU6u6d1otIup8j5lhoU31MOPUWkbsEmzVZ66zLDO9BOiY4RH3faj
b21WvpZDRF97mF79CiKaI3aG9uP6OCHN2Ir3lqHns2Hybmrhl1pjBs0NkAwBOZHunzqP6rvU6LzC
81yQg/WVVkDxporCmMYj1lrvOZoraDsBl1NngEuEKuiFaOVpmoGofQt1JDaMm3CgO5Ezfe30D7sS
lD1gJtdd/dCk1RNi+mzp06l0fPlmtOrCDA1gkNVuslY9l3pgLUWT0BkP9JwmjWK/Aa1w4YeAu9qR
cUfiRjtbzBjPyrh3QCvh4K4EtrUsY4/U5JW+ghFwsMhYXetGtzMsBJdZNr6EvvoIwqpmalx+J9Pr
ZKak0qIO1eOI2b355GH5V7gPjkXcGpv+6Bsb3VH+RzuAW6ddBRzaXSZElCycwPwtMvTUuvOW9PYF
XeaLyoAPmNwtN/qzpaO/ayeRrBWSllY2pwB9CK0pcAxR5EDFLqLd+OlAQwqyx7To3o2uiAB2j7ci
0SDC4Bl06CRikmDtFgzCKlUgkuposNb9KuSYWNZlhzou+cAui/5HIoTBZrGXAxYsbFpwpdkjRjo1
u4vfpymPltzUOXQD1CjtuiesZzmPkJ0hX1kFqZaFRschy17BqWcrwwdq2dS0I5omf5E2IbU22QsZ
YaWrMO2nlVPrNGTAdeio7NeNlj07iXmnhrk5/aIcpr5VDImnQRARm9+lln7nsfnVVBZdjhqVuw7B
q3NzHDNEeXog6JaxgZDGm2GlkPxeDVQKQ46uE9DEg55Ul6ohrKkYT7Kj0dnQsDJBZCwjc+M3WO/0
FsjQoDn0NbHlM7fC3g9hx3JD9q3hsMfvHvEfKVIHY38FdsZunRDg4r5mqg6ZGvNQVuK+p7FluXvg
dx9NDFt3ELeRl+UroWe7yABrEAZtu+p6MFmO1x9aJuuhAxq64qq77qwEXXuv0pWjMbtB3DeibyBB
MrC0L69iwBeoYWtBCxNjj0YJHDZT70dhTFu3zWHGC3NrT/05jYqnYtA3wsgQokfIQ8Yqe4ttDjOt
fPX1MjmoZRh5C1tW92iAH3M7ex4nWO+gUB6BTH+VA7l7JboaWsO5U22ccDhP3srFyr00GqSshuOc
S4mMpmyYpJYMZRzRQP9CoRI72z7WcJegVHtjav9OaMWjI7vT4MBW0XsErtmuEdlbOnBMJG2zMTtq
A0udSDheZiM+N72mqZVK8zbW6pVVc34CjrKzHbtu1IcZs764d5DYl8Q9hPb72A7vYcNM0M2QhHog
q8igfWtyokvd+MmqhjeAcT8JQ1oVWtuJzPRO5I/MV5nI6eW9xFXaxYBqVAoIj88DJieClHKK1To1
AE3mGF6FH340XrMPO2w5dDfXhQd0vW/dn0Y0E7AcBuddi4ShEIyfwCMgc+sXVUHYRDB7hNriLgXw
RQZeb68xRW0Hx9+/zQnyNMi8fTkwpsekFi4JnitBAXBt1kxgrx375QBBu3DN3ayjrgiwhI+RHkny
1XOMR3r/2vGm9rp8AdRVLfQxe/Zr7cjK9xDXgVx0nctHH14MENClbW7bpN8NZbBpdg0t5IaPhUUC
qUSM5WrRMyZ8j0YGg50rL7E3qxdaQFfN6KwG/wR+8iHrwCwwFMKkwtkLE/kny4ZDmfb2EtTMC6qQ
k+m3t52XLd2uv5Nt+G7niAk66AjLpM/eXN9Hf4DZc9lMNLUsQW944thIwQ6DeaZsqEGPgfNYe5Z+
4pTcim6c9j7O5DK/4A1AbYMZCM8Mp0v34rS05aYMIEcTljcZzPcFLh8+TYGe08rDR8CLkCsxruQt
QX+V3z3BVsl2dcRUBUGPi2sBjwG68yJUR6Rb0QIN4zs2mBVLLlSfvNq4DQj12j+3ID9WFZHNBMzg
+WK0bsEJZHL/kqeoU2H3AmucQEQoiw8ZXurSdXEQ5KisVp3p+osGDzt9Fiar+QN6ahhRKWImNNQL
u6nj+1aRf+u0j1zgqCTv/G996LqTQYg8qZ32zgPCrImR3ZzfvaP5XYwjaW1G373Xjb8JlcdUIx75
LZI50IXrmqkIKPWKiA2Nk4cirEITWIWMz5j1IUgFH5qTLLj3puyFEDBfcgXvlEQHTm089pyepeJi
GAPFKbcq7G8GP+FwqeJ7g+Vn1XSca0GQMiasTgAgfyGI0x43GJen1lPQeBcEJ5/GgCplqhtKb0xC
QextGPeeu7A6OhSLIU024NAXSpBFUttnImKeqbWfPceSSzsEAjmZwxddKYYtHhhNz+dS44yr1Os+
QtCbievcaWFCe9ypkG6DhZP90qnp3doqZ9rkwDUV8KKXDuScJIx/oeWJ9miXRr1g7k5Y+NA/2WW/
Nkx7oLAiQjd22Qc73S02VIa9Wnpr0Rtn5vpJS6zYMma7qcA5UtCC8kCXazXMtw0yelEQfbJTrpZ2
WiF7NZj4uxw02q8ZmB9xme4Dh+lgHLVHKS651MXSjxATZzmF6GSHCO5Sb+ljykkm+1x3/mOudT+M
dixfECdDDqsELINTmrhguW5VeJsoIRCRVG9DnRy6YrqfLFouSr5XQkOt6iMaI9n1SQoko4MMnrwe
AW2lh9SdmPLRymIA99By6CAEEKcwXpl2igj7uLA/ki6HOdePMIsdcyOs8dHUMS8lnIERnzDI7XCW
nP3YCEpWGVkg7BEjw0EJAglpODD3ecoIs1nkeU+a/ZxgIXpxCYf8TPYPzjjHMynHmnOT2i+EtKEf
VHxRAMeaI1RLRx8YAwDAFKXYgBLEOKHNkZC6hw90fPZm725PWnKasrBp1tGKmjcVWZ+mo42bwFQP
OjECYwtQdAwzQkZqKkKg6qSQaITgUpiEnCEpBRUsnhhJX5lavxbjioUzdD8Mta/rJknztrkcTf0u
Rl0PcstdpT6ze83nKHFt88P2vJ+Y+RJWwXJvmf1OjaSQp6ZxX9k+0imDgEjfwjqXliTQkjMVx4RI
I8DaDV7KYNwclwaiSNdQHnVAIpeGj4QHccdrYlR7MHBHDYFiVSL6azL5lGTFOdKdg6rJdipn8B9x
djTzQRU52Wz5S1aLspkutAJepfgekSTJfEpWDKzwiTXdnVv0b27Tf8V5S1QEgQOm8Y6+015JMMNg
/CsYNTW2vqlnIMDBI8UDXKm7jmHoYkzys8KxpDGjBIfmvyU2+hP0T49Be98JcFY+W/dFUQNW1gle
ZKh0ziC7C4PJJ0mPa2caMGro7o1k16EAS6wipgK+6J9MpT3pPtDkMBrvcbipFWiDuzzwGYQnwZ6t
1qvn33v02hGZ5O6iYI68bNuEAnuGg7n4kqD0r8bePiAbW4C/3LYuGfMS13P2VOEAPehJsOOYXNYy
stZDYrATUwje8BvAKjUdOs9zJjUi9wafXxhPBAvhPS3cdV/pr1qWHby6I8pyGLflEGxKlWF6qYCC
h6r9iiootLa1p77AE06BAZvGpqpk99Xf6OmeStrea7PyRMU+ChkFR7Jx1tT7Gr4P/7WoLDR4XkKM
SvQatdF6HDEkawocDolIiK7Gl1LE2ToAqQ2GZFEoQn4aXC1OwmhPdK9pwYQ9YNq5AmuPxMyp0cL4
wFNrcD2+u+NuySy+ctKnYZghSSWCVtlTciinXQJLlwuGAAUiIf8gym8ZuGC8I3lpw2hjpXaM6XU4
ytT8BAQB3CiBdE4TnGbIV9yPTykqto1W+j5ktPkiornsDSFe4c1sLsW48TPcqmMcovVsKyZfJMBq
ZQAhOliLTMlFgslulQX0QuL4uwyyk+6iaWILZrOttyWk22YXDWVLAFHjLurS/O4tTB3Zk8Hseovw
7d1FzeJOwxwFl+9TS36XzIA2bpl9JxlW3171m8qMLlOIUJXs+XTZzPN7fbqpI3/n3g5cTTkVLziV
P2Iz2Ji2+gXJcgl8fF6wts+GW69z5T77xnAcaw0lR8UuvrRg39cCXRnTP5fpVeqTEDW3wiM5njKb
ICLSDrtNjIDRYdi8kLJ/5hxFDWJIRC490OY6HLc8DiBfF65S2HtGpj/hQdVWMdO/Z2GiHemr4K6N
vv0BWqH1gn7m0c07qk2oKzY6C2JTg3iBqANFElpKl90CBS/nJprdstpWtbOx3nTHxP9hPQ95R5RQ
XN+XfHg0Ba07LUvHVSusVwX3wwgJ25nQavGf8cMTFoLHcHJ2xqx7A0k+R5IvqAAcjiz+HSaas6oD
z9aWuB4VULIovJM/LLxBiJivsk4EXN1lgp2aU5vodvoKCYH+GtWNuRjN8mJn/eOATmEzRvFtAgrS
8tGRecxkBWPYFZvAU4/NexitB+MDKfWHi3O50TkwU/vZjZwHEkFX+PPPERGJaYsFhRiLpuZsCbFO
e8OusfTXrrU/NRdJCH/XHlPVBjcuzZiE6787kZymm2pfdRfSfM4NC4AvwA/XrfEWzJtXTwtPU41W
wyhPqenAlVTNl6yGWSvwnHUVWoYIuVYPUEfXQQPnAUcLVUxXlP5u0nFT2UyQy6D9LIS6k1E3wQew
2dN0D24mjogsgIBpmFhCpPYeE0vemAZjN09+KAAMhjJmC7Wy/IryaJfY6aHGW6yn9nfk1fSp6lqu
RGaEmyHemqO8pE5K/HCV7aUa8JPocl2V9kdqNIfaZBLrEyiTpPhvk9b6jILiro7tNW/h2EGbh4bQ
TP2p0KDfpA7SjRj8RW+RQajhzgh+p0J7NGfPGo6dRy19V2gc7MkkDkOX1Fwm2s5crqzW+HK7dm/6
8QNEnHBfFul3G8wfdpS9j4Z6SQusKoWF07gp+Zvj/jKm/blM4gcsFB+UEB/6LHN2S7Wx5fjeSdBo
nj6TwXM/XUZTSaCX6SJv7q6dymE7sGSurJHWrB6bB1TrdBOidx9L0DxTPeVZeEQFfZ97vVi4uvY2
hf1JrwAi+sXZZAkHirJtyxKJQU+QGYLFuI9f46wWy9/Kll+2lX0GUhLcbJZ3uUZMMMw3vC24YwLM
Hw7IxqJfB9heHTp6WUp0pZWRjcAUpHDRkBSoX8YeC1NkBC9JgirW7iC/TL17jCfAjbpETK+V4dap
in6pL9tpAPfnxulmCt0j7LcPcjbfkY7fqDzw1jHHKWfIC24HcgI64tnKMxjYcGvWRGT1RMy4WkEK
4nTRguJQZGraVra1tjtIP1zytDUJFJ7J2YWKUu1IAUIqh5568LDYzX+UtPz7waV5A6aJXTkVHUdx
cbayZwgyqygrb+uofY0U2tf5EJxGgrMKyqNN6HCg0Mu/YPeDpzm9Bm57oXN7EzSBzi7B7FmdjLWd
yGMm8oc2Mt/ywRFs9CLK2l5uPX9aRxAG16qIH1AvcB3WZ/Kzbskdu7GHdsxfCU34Yvf72Httu3fx
g1hkD60gCLza8lTL4I3yoNtHESVKQKP+pHliXaOjgiBnp6CYzB2EdNp6yWhRMlThKR+1U+lK7cJe
82UgSG01dS7Y15iQSJtwCV4Y3MAk6YwLsv+KGpquxoCAJ4BhpX2x7yUuWz2SD+Xthkm7SHbl+zBP
aWICp1Rxz6YR8J41NtpSJojuJbktY5Mb4J/RMlfQKplEuGzUvEjf5oGxHUe/2tuahxx/9L0lDrD8
XhuJxyJ5vIFDz49/boMOmnBeMr5ZuRk4+LqQJteq1mYbn5fEb3irsBhePRGfGfwQoeXiqaogQZZu
DkDXc98d+sgGBuqFa3Xajr9nMxkUqp0I6PQZ+ZKtzfOU1c1WUaHXPdcwVdOAjNsHOZQfgPk92j1c
fSat3wtD+Vs3+HXdEdhLxmioom88NZVCLomKoMGbonVji4WJ0t7pjR/cwJw0VNh5EHxaiQCb49BC
h6okfCzykY4Eq3ZYlggWxDkyN881RJvezg3cr8g3Mb+IRTKyCAddQHBffNIFHavWN1/89NIhRcAj
fK7ml4vnCYzlGMTiRu+97z17AiKGV+wE/pulGpPTpDvkQt7IBAwDyhoYrDjcMTLtayloabo3eBgX
tUsIwGCDPw4hednZXTKPDnwtp2041EdS2XpcEBZnBNTQdae3h06he6xC6JzliGQNoRuntbUvlCCX
yGb3Bj8FnXiVRnRCnaBbGK5sOLIsd2GOGO9ASN2QoPgK8JZyaEiwNVr5bx9PzblN221Ie1u32Slb
oc8FdgTCgqtq7Uf6azy6Zz/8RQWVHPV69iKw4ZSxV7A8Jg95/xxY2FKUxx4tCpHHgitdDC0x7MRh
LD0/Ye8Mmx4E/LBNYt14SX1W65TMVzulxQINyt4a8REmJWQVJS7ssR8dPX9pyJRZazUGAyigr3YI
xz/3gMDPUrgERSb/RKIXXH0n6BzSpEKnSdsT4++UMSvB0iwJkgdefhnsNN2iDOJR5tFiFrbRPedj
wpCYkz+wChTDFRXyqGZmvLUDeziN2EWvICkgdRyyhyb1aBA9wbyrwlkM6Wdh0bCy5XeaVLe1T0xq
Ns7uogzPiCn2bd6S8hgymGommk+um350NPm42pQaZlM6ZlkZ7cnUnAto88128L/SrQy33Lu+1XM0
S72JvG0ePQXvFR0WjEsatWt7wjiAaRBDZZhB06MYuQvAvACZo9nZ6Zq/VRelzQiavJNrv7Bran7G
Ho4i/rir6PjFU9czL+OA8a0whcFRrxDPwbas0+6uAsANlLvhX9OXgMmTc2jDVejo2wwk4hg9bU1q
KblP1BxowBUhqgTYgS7Wzy1jdxylLGKu6eKxic+F0G98Kayt0DsyN8dyP1UJBo20WEcz+XQKuTiE
oWiOPf321MPSkKTDs1PgA9XbJ6Zm/P+LCdgcHdkgbpJDVtJWZ9+aY3wFM2+pTaFb9bKvivjUusxP
K4j9wAYG7VhzFMMAAxbYIvdkA/EKT3pd2HP9Wbb2cVJ7O2UlzeLyuXAma4fnLGEJK8eDaOaZUK1r
i87I8W25aU1dSypB2dFWExGHhdYLk+QfGoGcaGyzHPs5z7CNuQbhSZ5YFoTRLOyepCRie2GbefMp
eZMNvERKrBAAidpeCiEsVHTVCX/tS+vw2QZG60DZS9HQcNqv8uG5dviLK5uXJA+cTkzosKwxknE8
9WL7toEUPD95NCWPYXmn00LhiGLQzX9lHaUNlEeQCGtik28MOW6siiXUmKssl1nP2vFQgieh2gk2
7gtdI6rP7ESxZVhsRXax8ZFhRhEpAER76Y5o73MzWKtkfAHHcJLKVVATCPPLMV+C2mFENAEQGOKJ
O2m/Itf4BOzwU1pOt3K97hAyQ6Vx6Jt+DcCCtrkjv82WfGfcCbdqdup6gfecRcrb4VMiUaGSctGi
QV2ZVbXriiMh07ReAlxTnEiQWeRZjKS9krlj7l0TZydlhc0xJ6TxPYT2B4F/api+u6K682Wytu3q
dmqAUjcxxvIm+EC7x6OF6WDofgwgS60GyZKZUfE4Wq8uPTNmB/9UQrhuE2lvfg14uTNqfcl6h6RA
aO46m7yvKAUcGzH2IpCLSod9jliMVKzsa7dmyVqZD2O64rK9T6xgPDhYcRYEf2Bo7ihmw3LYaFLb
ZjJ+aLVM39TerSk0CkN9fFYDgKpGpys81E+tYiLikJJohsQLDb0PXmfIJt59eI6a9i1zGJFZv6aK
bz12+2yCuSoqNbwIk+1Ah19tEfkaNfuuLu3oJixxJZQWY4MZ4t6g5y3VG/AINN3BOe0g34ruu/do
6MuEFrwKtceWpkBpZj5I8MKh+WE9keZHtzVrcwIw+g+NrXsduSPksFjs8yS504QEQmNDt3EnkuBL
n/61odjzQY2j+S+LH93qP1ulU7E4/c5g7dmmBbkiZfaJozzgsZhLNI+dsenWhHsGCUcVvqJa2tk2
ssB4TtUq1ZJdrsMWqgPrtmr85FCiS14ChQ/5kBeEMR85jshzrvDaRG3fXyTWLEEusTeAzopIkhrL
G66wCVWwtcBUEsNELdCByM2YlM0JZxldfz+Rt/okv5MGLUgbJQ+m7gfLqKL1GpU2hL6KxgkGuu6m
cJZxrn3Ra+/f4VkzfUXGromLahizTUPx5brwQV3B1qhuLtXszEkMfdqGUO1u4vmLTfct13z3cL0J
n8qXsuk8yNThr228R8AFA7Gg5NinSCBoEKUbT/MhC9ZqXMmKdTiQxmPSxQnHgf5Cjl6/MkwTxLu1
8xw8Y2LyX8I4AipT09Mum7xf1wEbmbyfqIUW9VBW+2poHpUrp62JAWmtgCkNhGQwO2Y6Bwuk2nLy
4CL2sCi15FPgMRgYyGissQ4qe3Zeabm26qa7KOndZwUfaDHhV5VGfWn9Vi7SGCQlj0cArxEVvKz6
5KYORpr8tBlxFH72nQGT1GUsn3TGs+VULuqOd1kVwTYaMFiXoMtq9yZnIrbCwo6cGOV8ILWNYsRq
ZERylkDLEkxbgaOwhpcEk3fDJs8r4GHBBSjZOXTYq7AtQwcr4cVqKf0YAz20LyVFzvDDkguMzfVu
Dau+q7qUNowDiWNk/im4LoVZy04Ab2agbpMA13hsWwRZFnm40TLwb5Xh/bq2wnvYPg8tSjNRU264
IwrbZpwjZaZvARK+tqCzJr+uwwE65aT8DJA0dHeGumuo/knqPPaWfKpTxBQtB5fZPA5pc/RrFD74
NNfozJ+MFK6B64svoWp88pYBWs43rWVA8IYZEj3K/GWtQmfvI/k5yGR4MiYsfKHUmLaXfACu+IYb
sO0ibYlTJNsMgZes+iR7hBDB3NTFyY+MHDndeKMspge2CN6iWxQorCrLoJ/WnUlmt6rPgMfIjC26
/aiCG9kwIHbpRaTGgFTH5TmxQb3khf1TT8NZgDegSl0ROnTEkFwsODqJg8+aTSrwaaVzdcYc5cZJ
IizdaYNhU1m7ym73BsSkLh8etHEyzh1aIFPaXAbiHVwKyOu+9WOmFjhjWBFaCaq8m1IuBnxuJvl1
FaInAiSPLbM0em4fpmjbE/pPVnsSObS29VcNHGVfRBwt8V1WwuULWevLevt/2DuT5kaxPe1/l7un
gnlY9EaABjRZsmXZ3ijstJNJYp4/ff/AdUt58616O3rflREUkxBGcDjn+T9DqUorvSEGPsYg2b1K
2dtVD5HWdciVZOHL1+p3ArI/KhyVufvlRZvzu5CuYaODiuf6UGJXCwgZRcSpCxEVNAU9n5xiCaKi
YgNhoGKrcZkbOMsQn2hhvaiKTvz+R+OjQC/p+OAFwLSA/qUlojtkWKX5X13ZHUvZ+Mqu1dnsy0eq
ELiQRoLPRa+oO6Muyy8MB1RpZO9QRxXQXOsq9kZiQNRpfSPf2xBEqs7GRVlnufQhXVpslhJ4YmM1
K6nIRWKkhllYkq2aTl83hdcr/cLgCUpg791ouC+68KLU4c9CRomNl3VHzji0tgvq+eIrMcqzlfmg
0Um6z9W5dOHNSZt+xb9ueVObbYehBNrZluKJW5shlDpRzeY+HdU8M66uNspcaHw+DfmLgqbpBoO1
7aCkOYmk/rje/ANi4cDDQ8gj6XgSlG8zDMLouN82JFSj581vi6rXRBfaHPHkAD91oi+ktvM3ZZXl
c7/Mj+jAXFFLefxj1SsYlPpVTm5NjfXAzcorWniEZNEXgbElooVqpSQCfzd2iqoOikP3lkGY7rtC
3yKBCKw1yIbdlcn4HgwltzOSpyArHpRacTpMHTiN0GnR0TomaLldgPnpGObOcsrldtjjoWco8SbS
8wPZZmh1u4yKVUcRo7uRt0aKU14JGJRk+2oQJVybmzmqCezVYjplWblME6w+ajDhMMF5pyJLzgyG
bYh/tX0J8sQVs8rzzWh18Qm4wi5iLWHA6OJfcw4ZLF6JfMEYly4AwTKCRKcfA4hPn4JeHmGsYPlC
6Ai9/K5X+V4Vq+XNuvZuJdHfvVaoQ+hXC3ZyTfHabh8qX/nI1LWv0Gp2YUsqsfzTguOQqhqOlY31
ZfTVO+CXmpvPVFAWXeJTK4nXCoPSwKcb0fny3oi6PQnn+5CgCbkmZtW/3uYS8IB+0x86GTEc8FSx
yHLRw1cGa7NCPpcdfjc5gCmJlHCHmsi2En2XDMrjRYmOKm3K3CTqMS6GhZVJJNriR2xGdp1SINOx
TIoi0EgkcBESCTnvFAcaJUumT2cngxdT4mcsVrdVmGJV3Uhzo6rolQA2WkkHBUC4btSu+LxEzWdM
duglIls2P5JEV/PQ9Ehh0hd4959hp33VTeqSqeEo4jVbiEJHvYzEKCln1K4HH0CyFOwRkAGeCXsl
HZ4CzXiOjG4pysoKUWbuCJW8CQkixl4Wjk7NC1Er0dpufsKldomU54VRFnZjqXONkLxKbD+grD9c
4w9VGQ0OyEWKrwckYTK/H8GQF8spsD5A6iSdrLSAjWS9BjXUdiqdGwGbBMKMMQr0b91Gu5mPaK0A
uG/mSSyaTX1J95OV//+lHvxPqQd4SxI58M+pB6fqPfiP0IPvD/wZeiCJ1h+iJt5jD9R76IGk/iHq
osxAUSTfQFSNv0IPVPkPUZJ13dSp8kmWpJJUUDLADf7rX4rxh8h/iqhJhoYvpqz9b0IPZM1U/vUf
oQeiCQqniAqsnDHxQFf4Y7Mf99CDNE/DIO3NfqtLcGauMWJ0atxm5v0yq5MEd8Ues86979nfd1Cv
C6A+YwzmhWVuE071EAYjB9BKqwWxhzbjC+u5ScHN6lSFdpyHjFqFh8DAqbiozU1RCK2H+ZDpCtLw
s0uF8CHphwIheh8uyi6OyOERiPvA543Xk48ZYiGjgjD83Q1BlYde/DUQhheMnyGAXlpsr1XYxnFL
0O0N/ONGz4zuhFQurrkeOzfccmdl2GLTMv0l+BHyTpxmBSzfh8dpVsWcoFmbQ9o6jLTALYWMbvK0
Kayv/74Uvxxm2vTLVZr2mlaKmAWF5SAtSENoRNcYLmP4CVLml2kWaf91rqrBkzZumFZNk9iX0UXC
qf/bdWpbIdCZdrwiMPpzVhUanG2mT06bpo/fF6d1969Jpg9Oy//P7P//2+8nOM35Yaat+rDoVlVb
ZJ44yYjGuWacTOvuG8pY/HPdfT9fy2jYp33uH7lvnj4yLeL3GFAjwrP873YmQISK6rTllyN+r50+
rtHhhNownl+IG8OQB98n+9s53b9vOtZvXzUtBuNNgVkmIM1ff0+GowgWeuMyXGjZTjJGHVk/jreT
aRqO+qMWci8GXOMsEvrEg5zmXf0iXUyrvncEAEWo9Ncu38eY9v7eadx8X/xlMwGufBtlHsZb0+y0
12+Hmxb/efP0Fb+cpV+RDxdYIcgPPIB8Fo06JwKH/jzD3BcwL7JaIXOoueInOC2no7xu2mnafVoc
hCDy2uO0dlpxP9KgVxxkWr5OMqq/JtOOySTrun/GFCjG1TeZ0XLAC3nEmyspgdaj3WexRSy8G8Qa
b9reJUhXM41eezuqzpC4E7hWG6rTCkLjxOrhpmnaarKgvIxmlElYbiiDCHQqhH6J15qdDQkvYDO8
3LzvWSiBCbaFV84cKdO/Z6e1QWWs1cgPFtPSNJk+OO13X/zlkNPKafO04/1z07qLPCYIREkwz30C
4WfNLf1o+hyX5kuxHupUoaW4AghoBpWUa/Vmjo34NFHIJUcUMDXtlGYyT4KziG1OUWGe3rVea4Wd
pxokTieD6ICR7gY1f0q1K+hf85f4Utc2xa3sV3gD3zw0SGjpxrn7ZFqHpV7mkGzcUAzlegwFpT0G
fNh5CIVyVqP8yntCIpO1yJWFH7Sdd/GZXCnqzMNBegpvWGxDwSxJeWsuDH61A5AhfeACM9IqLBQi
BwhjnhZvRT6DPwkm19QwxLp48CK5reiAmRIBOk2Em1yYpV4mI340itwC4qkxcMrblVQ/AxW8KyRi
z28lJEYoHnTQyoKYTqviDSEql3knDY8X0F9oz+ISsmDpWSJGz5pg/DlXmoUKdl3bythGmyHWFZpe
wskDe+KBpvEGfYZJMs3eV4aNuFfaYJh34xM0TQKNx/W+OM0RV4sZ920ErniQpkkM6WJhJNIKg4qe
2pouip7g73OxEhZ6oRM2m7U8Aj2piTaRiqUt4C+TFPWDbDXt942ojL/c/fab5qZ1+bVAQNyoWKEY
IuBkel1gFVN6kxurhmnJnxat0/K05du3tbcKMsSUqwM9o/Mweh1/YYVQvQQbVjeclgM4n16XX/hV
WrmBXW1UqlteavyxQKVm2E8LVMAGtfO+Z6t8iWOyvAqGYX5pC9XzCxPWfQa1mPHozAwSC0G/ZH5P
EHCpbc8LuY4wNCtKSGDKoDoUycgurRQURt2AaZEBKkTtmwQFHuQOkI0ezVLqD/h09o8oyBVMfx+7
NzNYkN5gEjid2MPzdSn8ZGjhK3iE2bAHuRXjT9JI4weY8Zn/AjaadfDhln394v5Qsl0OdFsuZUQc
gdt0su0aiLvk0tX8wO6NJYPOcNj54oPUu7n6WV/em9t46AgjBlhlJNh3TvWMPXchuGLwflM2BFEn
ENe6dW0ur/48SBxcAfX0BR+v2/AFTyKivpcF1Fbnmr+icjq6BuACEduNyXhUPaH/UTXCFdaNfza+
9GzVY61nuWlNTX1ZRNsUt2rsz64boCzonLd+reI4FGwxT8jEpQmhFUOMxlaDBcZ3A04DmbIouZyy
AJ1RnamcFqVpoBRrJcAZG2zhZ4dFtoFJbFu/FJ2D4yFHvGR7eMm3BJWRLdSb3jzCsmvr8w06ce0/
ZNUnMpjCM9cG5Gw8UWHlhmh2KZc6yXUVCBrkuiWiZnwe/fhoIBtTybjb+Y2nm8vyRiLhUnlv/YF6
3EKsyaVYyfHmVq6a3E5FbGpsqHwB11fBa4hy+AzvH7AE+CsW0OSsgitmiy/Fsyl4HeXcnxH0Pvpr
e2l7Kx3hurxork7UE7QvsnMGu3mO1p3ltns/dKRTtQ0dwnp8/CqgFSrAwqteX3XKgpDKG6B58YV/
1XClTrQ1Y1sKlzD39WFjyh/RQJeaZnJ0m9uIxAgLTqovTAwXB68wHuJ6HRGBM/BcKLMO2CuKf6b+
s1pufe6jNakwXG8GtaK/iPjb9JnwEzK+QeJw7Ajcpl3gZT6ws4s5tdosBvKgfuK1rEI9gqbROWj4
zcqTfqbFIYlX8CMU6PS5zXUSUGHiDsXdSUUxN1eR4GKZiv0ppnccrHojpkoDHezmaYKflQ2lRrPs
JILG4uJp0OKiZa5BJaTOETfZURNwqcC/yhuoGQdOuYK7egHSxLQuXV8Ht8UHvtpAOEFuhLUK/gwz
dTPE/czt3rpTUFA4kSz3qh0qedUG+Po1G2g7WKujWIxg3UJjvsIvWbXDWmfU/hW9AWTqGCGBz8ki
6WHH9rYxqDY9wcpThVfIMKGxD19giysDfnmeRGIz1aJXS/FKHgUf9elDNsZbENWO3GxAz8FTSxaE
GGbIbhBIz9WaSoqNLqhFx0PUpUYNERd9j3lS43tcTHDKEjZR8VHdFrEPsi891eaesndBycSaYbmi
f8J+sU4YsGmussPnBUfkkZRokcRAD9LN1Hn7CjlFN5B8I6uYjwBUYacvqDzweqghBOuOmDscpYQe
isbu6nDNd9zM8AZ2yhpp1TKFqlnNkQ+DRuC9gR/pDBiwM2zOJIT5nrpNdWLgBH0gW9cvmvKS10sQ
v2pZH+XPi+LGxZJTw9IrA1TH86nIFpzTBS+e20ZWZjp8Bds/ZWeQXzXEAGZ9XYtY9mALIz9Sk61E
QB9CfttN0250cR581OFusBz0LsL7lZ8rr8h1FYi43AFrQSkzEKWekvNtm3vBXn0S3Go4BiEG30BA
b4qyD6BxpfVMh4QlwQJymnyhXLdStxHUbXFZ+2O2OVFP89wEU13jhw0TraNmfggpTKhLRINoNnpE
MQ/WGUDM+kHAJ3SmZbeEZ/RIwEKmrvzDsI7V2QBoeCbj0+wXiIDa2IXjDZKFM2T0ImLwM7ghXl2N
tSyvvOsg4KMGcOKRYTgDNAs2mfCkkcYyPKkDoNihZVBavpOpXGEyQg5INFM0fmTAWvSUc58UDiil
6eNTHTz1g2eawKSVHSILuBJTgar60Y9+tv1rg3U+40lUCOdbWc6aaiv7yN2wnWNBxJTNFqkBmESL
wtZaxpeN3i0bWpbQy3Afz9/bbCMJuJkvuEJ4zRXmDHOBEBdmsMNgRhaXheiUeWnWfGL7Fs32wUuo
rjl6vGZAEygIvaAXzoIn3c4X7THFQlF2hgqXf0xVye1YXB3YvRTbqw9sIdNFUCyIZ3kSoQzZugfd
cBbNDUg2zg8tsrMzkgj9gUT0lXpQYMzNIydZ9w964SpvF2I87RTWjMudZrhoNcVPKqrRs487tS0+
Grs2cjlzyeZhCM7YMl/giCM0OKkP5me2pMi0/SrOEGa1XYRSwMeNxqYcKXDHsiC4go2l17F0Ovuy
vNlc01lgS7Ngrh1/zL4yt/6BoaOzCsSZ/KDskqX80NMo0AE4oQzjiUnO0VlUZhAIirN2RP0AyH9T
qWa7F/RyCDbc4Lpl1zadlw0p0w7KZxDrh4sBW+Z0pQgXLQCbtQsq4RmcJL+zA4ecFCN18DL1W3cF
PQvaaIB901u5yPah25EcJy788shwaYTkB9sv5r0beqrT2IjTZCBd5BbJbvAUA9mS8wGp28bGTaZI
NJfOKxXNwRvcbWVDDMnSwO1+J/wQnyWMqVB6vvs8BrA8DtrydhBPvhdvEYlCqCHO4RLtKJemp3QR
cVaL8GC+UuJgm4R2CpqqPXwYnLULRRspXZCuMHrycdSk20YUAdeWiugBagQlFIJztLPIEwZMxOjp
JD3J+HM+ys/QzZ1k3jxoEI9nzUO81m2FetBsXhP2xEWztY2yKXfNQ7G6LN4wrRs2wybfKXPc0fwl
ZLUNCvItjzfSvhhR2aYjkuepuvDOmEHbIkwqeWSPdIYTwm7YaPPgtVppZM2+967pXby38r3b3Had
Q3yPuaD3sZG9ZIO2fZhTGbBjW3CvDmTvWT2LthcbQN2BZri9zq053mYP1Uo37ewp3mVPwkt47Jz6
PXoi8+CJSsjP/Ll1s5U2y3Bqn1Wv/hkyMmL1J3yrYXJrkcP0Vs0KR5rz1jjTknHrcIVRD19RP0Mg
AYkf2/D2YTgWG8JGslW8E5aaY2y0p8yBN24nC+shscO58Srw2coJtigJhtfalm2ctm1aKMxAIXO/
CsoSMhgvl9cbf9XCX9ApWV3X3A7P0VO1aX/GO3PRbPL3K70ekK8X8efLbRcee/fyM3hNPm9LkStB
G6Ot8UDeooMYLX0fk8d6m8j2vH4TT+EBny5slbmteKjC2ZP4lVCxtMXO7k+USLvZk/VRv2EQrLok
CB5uS/NdPRWvyBzwCaDP8l68Rj9Uu91hL9k9xut4LZ90u3nID+SkuhRyZ+JC3jK1B0fgCz4ydAEL
BOB2giXLTNsYS93Gdv5lvOmWwpkaJ81bDVqBn9Ibvgn1FoYmK7vZ7SAtkz2vRC//4l5NTygeVsM6
mpenYe3TxlTnNHbTLW+n+Gu676tztA+QWfN24SlyuvWN3ytyKqKRdHjFNokbGRRW4gIYk36R41Kd
2cbDFNaOLq1NxihcGvxleWFxmYQZBPTuY/iIHoWLHcWUdWfYCUokmvcLjdozTKaT8CFuaZd1W5t3
KyrIPC0Puucvu1XHD9Lvus/iFZkPcVVz7vcEjq2t/IDI39vps7AneWbuL1PeSJG0hLonPrfKCwS9
FVHfq87lXdzgV+kqnrBVoLyGrnG8fSFV1EonsD5jiKf+7Cbzyuwe4jM2u7o1Dw79UVwY+2FTE924
LfDXwiAv5lkRX6nhus3y8vAVHlouNXbaWEBAeKGr7EX78DCcu6kBnFoJ2CU0Kti5laf0y6diTlbF
TPuo+SB0bdzEaT94DX60W52G4LlaJU63khiqvVf73LM+bjDWIO8d4Zeb78wVr8GLtqH6341nPWz8
yC6PTQXngjLXrHk0zuKp2EM5IMT2dhj7B2/SR/7GKVJzQk2VfzX9ZjjzQmw+Bn5GSCTJ2BjTsNFF
ICeIZql3MVVAwen17gdcLtg4s+6o7KDszqjG2IHtu8WetpTX5Ntw27b9AkHdnibvum+3XNd4KdoE
vK5riB172Qt4QukC2dKbuEIgq28s11zx4Ku4ddrIAJxk2dHc6AtrLy7EXYqs19Ge/HMxJ00VvAo5
FA+vv/wInMzV4NTzTusO+qaZpbzwoj3n3eWuRCNJlNmc0dgZUof/YXwOrxU60U/pVdubvLujubVL
ztlaX1XroLSto0y+t+HWkcsrTX6gOwgOw0176pYKzXOxam0M3dbSo7nIF/RQOfLiwXS0I32K9ssc
/3pY1GucaJf1V0M7sbwtKcfZ0jKaR4/hIT5oa6TIx3mBMv0scwvEs05w5FPDk3ngmb08gy3yA6pf
CvXm0BWf+/f+PXsonuLjbVdtElpBDGT3wZPxKO2Lqz2sLh7WlzvzILp4jL9+RI5wxGabx1lZjv/0
DlvNWVjY+rP8fn0QNDfKZu2oTp9VjS28IPVXwllMF8pGnftiBlveNOJzedmY1Zx+sad75D8u8BfO
VowXDsQ17ehmctfKJ5ISIHDAb2tX3ZPvqStrQH87l013ML7EfnS/P8R6z6+I1bPxVD3hzOl7OvdR
wRObHq0zJ/EBJXVWR1Ezr0cklLg6eryyoTA2Ynw0wW7CCEROTj/T5HsdcTCKKetgBeBP5lhQmOak
EaKa5r7RKBNTj7SNDoxCAKHUEU6eJhMSdV+c5vy+NWdyS5lyQqGm8zHFq1cHVua0hvSIFUS3Cqi6
5peWHEeUpRKu9Cs0zcjcwnUpvDWAOdLoFHpt3By93hLeKyVmnmp4rRhyQT8zyG8nwXcvg8kviqvP
AHicMHQhkVhf+TlWX/B38Psa52DbobfFU0juKDCU0YjqI7uirlCUBFtOszFxCLwFWprL6+iEhuOG
HJogmObJNwvoqT4sVlztjukAzRM5CwPeIaKe1CtQi1WwwVAHcZDGVR25tV4QSJjP9vEHXFHQF3l0
6qFHnXU+BaquGzvlN7uLr9s+0+kGjecJqkVFQIxEyt9xSE7iJcM0ckh3sqLQ4ObCHox2WSCIp+Hk
nBRfgdyTnruGPJU6hnGsWaMlmzGWR6bZutOBNEIVj8YJ0p0w3gnXneaMqVjX5vn6dvFvi0gB/p4m
/Vi/kwuA8vu6TKhDNPSIF5K+AVKR2jE0SCu8ZpxMi9NERGJM/AIjsAkHnSaZIOQy/pvgovoFcVsN
/WHCZb+xWnkk1ct5yLQNdIyqMwJZxTGjqRuR4f6vOa32wT7HddPkt8Vpv+lj5AtR2MD8400yU4Du
8isWS6goJiYBBg1AjEucIPKeqaR0LVWy7FnF7lpl/F0dIKXXW2LhIZ+DCZ/C77uskNlEjlxjsZqr
oOLZWLXpSip701xswh5JgtiJhu4BOkICF50MdlwjoX6vcZTY11gczGF8w3SXs9zDuD4DI9WfDdms
V99L0wYLkYYT+mD2v6ycPve9PM02HZRxA9XRAOaK2TWvFUDkyi/Aj0tYl9TGpvlp9TRB48WzPU7u
i/eteXkBcW2ui2m3+/rvoyh1UQz2fZPeJgezNipcUVAYNYT0IqcQtW0Iz44QPNhyoAykHXSqzuXl
GZyM9wSVoFbklK/pVSsWqQX7/q9t09zvtoCQCPH4mzZNk3yy9lOh5ONB3siYbPDETB8Cva4G+24C
iJiJn/d3j8Lv5ekD00eng/6t9+D3ntP2+0Hvn/k+/P3rv3fvND8hNbF5/O0j0xe2RgH7vQDTvh/m
vt/vZ/bL8nQSv3/VfTnX4O/JFm6gd0PG79nf/7pfHBov077TQX75pu/Zae33H2jVjDN1HJJ+8XX8
x2sy/TF4QXADTof45bre/87f/pi/P4P7VwxvQ6WeKNO9lmNRA3PbmzeMhp7T5Ld1vy3+3S7UACZb
vP84jDQVre67T3P3r5oOm07moPd97pv/bt3vXzMd4rfDfu9jKMOxot42r8e/z5wKsH7Up4scCUU1
vshxQWEybv1tEf0GxUXa5z+3mFMVddr9e3baPwVrkk0N37m/OcS0xzS5H+b7W+5n84+f++3E/vEw
0373b5qOd1/XjVWw/+MeJVVY9f8D90hSDQm6zj9zj1af70H6K/noz0/8m3wkSX+IkMcUVVIVUddH
GlH7VVb/9S9Bkow/6GBI2sj5MQ3tTj2Cr0RAhGiY2ASolixZf1GPVOkPy9IsKEuKhrzFEJX/DfXI
kGT5N+rReAiR87JMBYqTYor/ST2KpUteo5rRd1IfNUuUB3YbhNg5Tz2HDBtpKqcBQTbTJAuBw3Q/
OOpj+fUqhQRDTLPTJCqB3UqUaXY9dVzGCVyD0uvGybQu7SJKmAlmWteW/qcydoSmCd2PwsPj+s/F
73VCcluQe7VOpi5WPPJ9JjrPNCdPBXW1MAF8jQvDmLELmn13QcfZCxEvdjt24FSIfDkd+2Ds2uVj
Jw8+0BLt9QO20bzxq3zXWS3DiIB6gImc0S6njp469vmIF2ghC98QmNxwZaJ7ibEI45eKCEmYs+Jo
ib3i1fwBpbJ04GXQQR37q/3YVRUajHRzuWRkwypMLGsPzQy9XKQ9x37s+AoG5+TTF657Cw0Pjjm4
NeJ/AneXeGXCcEaqQDdY9Kan2XLqWMtjH1uhqhPTXV1O5wkvKvWmuTBMjdWlmudjx32aSGNnXiQ/
uGsw2w4pFfsja4CcX5JCfS/3L+GykxuXMQ1Ih77CsRwN1jpAASOOQwiZsUQ2Dip8Rhdcn26l+uoj
rHCEJ1QC742bNA5PhI6BijKOZe4TrNLTXxb7sfl1EkY+3TgEmkhOd6bTnSg1zZGEwUCKrESkM4k3
nfk0McbFaZ2ARE7ubnSLonGA9t0sjoM2aNOysLw+DlR98Iey0RrNGMDmB2XDGEIC6DjJ2iPScgAb
0VExLbLstEJTN8fnFM4JWUEVo0i0FozccQw1+/eqWubCY05dta6PzFn1wiIr/JlB8iA7pT7vxX3V
ADWX84u+LkkblrbEwSYv8U/JGcCn022AdQCVJgW3+1VDagsF6nLYK92jit2GNjfjZYE4EDmiAzk2
o8pVeUAKrZ2vOzSxIoSbGSP0Zd+shg/xhOMOnbKxFnGEwGyAXAAFYxZk4AlFuKgt6nNLdnB/G+KN
Ae0vgW7jqYmrf0UPqJUuOeODEfBBxkQaRQJyqERz/RnNmtyNly0HWsRFHJlM54SqhzwiuvG3knlh
LaktXGPyzGdtNyPBsfB3mfWRfd5cUK9m3zyBPD4LFixpt9pUjw2mWRDkHB88GCcyYjQsN5a3vYl9
+yxcp4cRNjyyPnvtqDK8Q8alFibsSGpS1Vn2WqOlQdOIuBAFbufI/SxSbdGNgd6ppnqlPuuaRR8+
YKYHxtJ/wU1qix8RokQUDqhs4lUKAv9DRNRaHRnFcHUrSs86uiZbfMfTbYQjr2656xj6qqTkovKC
7jKrj0q3Th7kk3Im+VzSaEMY+hM14pQHRRxR9ezx4g2rBoU9ebgmxL+5zrN5zMwlkq8MA0QGn1Qo
QWof9Q22ndU5+TBOyTPF1D0Gr3rrGjXM5FcsiIxlD0zEr4jLxgXnPOjcJE9TN/9hkJgTn+Awbq+9
LT70OL1XDlHl5pOyEV50griwgYL48K5+dU/oGf217mWrCkcypD448zj07a+fpKCDvkeXRfQDxJOi
Cfqo21ZWaCmW6nO8ZugG1F0f4vQR1Pm5e5DfxnzrlyIkFc7mZmtQW+74Ueuf+tUjwIfKhVW63FDa
dU5kE7ksubFG2gTg5L8VazdcibqbPunhDDcQw+7IfcNo7eZKbnWgCD38tDy0daiV4ZG7hh17+k/r
R/CkrMsv9VPxtPfw0zrQ7vSlqz/CZ8dgB37EcLpcl9QU5NYR03X2UCqLDkPh88XBkc3ytN5tyTDE
DXafLC+rZt8nbsbrAAiW4va7/H5L3fS6pFgxEFAeusFnXs5bArudz2aLLqHZZuACZ3UThHZ+mzdb
2B7umCrqKjEOAbPLCySEyL1uWzIoGY+vK6d4yrfVsA4t2gzggqX5Mxnm/TNpbfhgKNVLqbzSdlx6
fDVnnf6p3qD4HLXAZabYiNFKfsczOPUA68AYqE4/dSkn6xavALBkcX1W2FrAWgCtTI8S1anSJQ7m
CcTrI/2yaELJk1r2+rzt+P5lTjTWS3/SNj5lCx6Dhe+qq3be8fc3tnYKX0nXbOcYG9Sz9q2J5sMq
e4ioWVOkIUwEeTJ5aZedCPnk6eKRL5JUS+C5Hxiy8fu2gstPz7OHlChw+EI5pMA06zb182VYoUkS
cQFsqTDMUcoUAHYFHBVyJtca5Q+MH3jR0e5I3vUp4qZECyu4/jvkPZI3pcJFRqsgVIuomLo6wGF8
uG2jDwSPFmnzpHZoe0OlAVG+TDnGX2gWIPntXtLmFOVbUqPIcckJbZtzmEuGaM7GlcIQ3iYZATSJ
clP8kB6Jj9iOSar9A+SGxnf85xb5Zfo8ejFlxTItcFCcpwhlpOc+w3P5UHZ7gyR0FPZXBw4RjUd4
cy/qWr+6t+vXLVpC8VKkmXzoXjDSoyLEn208wlxr3uTyq6SR5enNofIZc4VHCCkauYARPt367YFj
qCgpxM5FWkdjgZsCU7+ataj7R59DfhlMnd6C5gzN9UYKEbK/n9cV/zDfmV86XIbntP/igr6ZF/zw
e6o81OvVg399idWtvCPwCLfsYduu7MsLZEwMaXj1YcE9v1LuAM72fzT6Jrra8W2F7XxYzzEylm+4
7szJIZUCEilwT3OlaguBjdMrRkszJ7yt8BWPsavbc7JSvaocqgT+7JQnK8ZeCKMheZQHg9o2Ri7x
q+UpXnTU1/1S3Sn7YY+JnscdDRtgLbygWsxpYmJMCkU7IzwK9+BZUe6R1wTSPFF2WQknLnKly7IJ
d4n8KBNlrOHCa1+OV7d9IvvYUeaj5B3u6By/2CR8Dqtd3G1addtDTFwnbjx/rtIZvyAYe/ADXdtF
XnZQLxQS3B21sM2C7leLHpDg9nCtH8lHD8v1heLAR4W3C14weNkFwrLTbFDSKFrgwWL6vD4XbfQ0
MNrUtlKzbFTHvG71i83+cub6V0g9ro8FGsUQ7q4jDdFpPFQ7u+2h1Jj0bmfWKvvCW7I4CQ9qvpB0
G68BHDn5lfDFjMjaO8iRzWxAjb1fVLGbyWu5RPaPGY0T6wtBdQigzlHqKGsrfjbapSzbyOB9yn0/
1HO2tV5vOAUdWNsXi8s6WHfYtNDTsM1zThCzmx3ldUNRdtMtzA/1nEIXuhI+6GAzjOXaT8Fwip1v
rfR5sahqhzxkx1oobvJWHYRFcxjcURvl1aty366V13x5GN3rvoq3bkcwjrnHWYv/B2t1mSxIig1q
J2q3Nyd+EZfh5YnYHzRe5pprhOUk8k6cP8NH0onKiyPTXbUYK6wS023iZ7TN1GUR7sluEjsthc6F
+GG9imdsQxvkuycMf5vDbX6NnfKxX9NX4iwW9Nm1flFjv0NpwLtu0SZHB3V9PfTn9lycuP58WViv
swMav2LHiwMc0E5X5VP7RDGOOzZzhmyOUd6YSOUZz9Jp+BopjAgtk+1wKjyGAW0G3QsHLNf/UT9k
7+ocl86QgrLMPURY0Qz3MSNeBsd65T8KT8YnNw55jCexOluhrT1LykIas+9sBhG6eEb+UNEp4Uze
JXD0Z5hYYQZFZ1k0xzZYaOlCgwa2NpS5hEliPL80s01hc5OKGGkAESZv0aFCe4vTRu3CyYIFRFBC
fAx1l5g1nQIVIdS3eYWh2TseFLDlpHe3zPfpJ+9paySvzpVnxF7BIv0cXGFR7aB1NYQxX06MqvJ9
dRI/bs5gvZBkhkl5MsfpyiC2ttxm2JgO81tL7/ahORbHAh+d0G6OSrqwCLt/JYcLUau5xvRFhq04
zx/jH/zxpLC3e76g13liCF328gc4qniH4O4n8HljB4FMIK8NosJ+gGBDR113M4rFR7VaXQ1Edi7B
Sdzw0Vtf2pcdZklnzqjuWx5mO4GZg+0qtM1qzrDJ+qnRPSfpDeKoeojbRRE+GtlHd1vWnzkR2e3L
tcB31UG/O8zpTUj7dsU1v2Xw4dqRxppMjNZgJLcWI82VYZnpaSP1VRlJsFm9ioCivGlijERZdK4M
LYs3kjEarwmsGk+x+s+5ad008XHxg9+s0sMwsUpDglausxrqRUV2TVHi+4TnYE5vf0Trg5FWPc21
I+A7zd1IwRp1emy5Yt2+IFYKhqQ4utBNAL+mVBj1/NOn1SyrHaya6EdqSyNC+RoLL3nhk7iAzQj1
5xRy84gO1+MXypN8Q+FSW2EJU4/aZ4MWfAwpLkfOv5XkvPan2Yn531/Jq5QfqFqmlVOlZ/8r/Qrl
dczjv2WIhqEkxuOk4BULcOybb+OXizgEc6yOb+VJhqKmjoXMFUYYS0VdNYZnZrPk47+JOq/d1pUk
in4RAebwKpFUzlawXwinw5wzv34WfR8GGAzOdZAlstldtWsHXVqY+zmmtlkIR7gszPLFd42TYons
O5fdOrLhVyDEOHS4bQ5LgcGqvuJFVf3YHroFydk3/aYcRsnNo51guhCABphGhpP+Zs/xDPONWhT2
AH+D+vNpQhDcM1Q+tO/yOw3StOPTHxltQjhbNmt9YV3GwG5d9b09lB90nfCHYBkEkx0yOTERyS4K
RvzPEqLJu7+Fhfyh35ovYbT9X5gJXGj1Pcf2y5Vjm3vPgDrRyAxZyL/dT3SmSS2Sq/bFYPdCxjGJ
T3Fw1Y4MyIevzM02FB5Ssiz2zX72guYp/CfIy+YVr8ffwJU+UFvjW3pRbWbIEM3GY/RDUUyn18Mr
eq9/848S4+x6SSRIYKykHRcPIgb9Dr8G6RsTTGo3+VHhMGfDyEQRDCMALtCXzPl3gYyIqJJ6+JA6
BIGT8uByu4tmQeIIeSJrmKNb/9DD2TqOEE+w/obwWHOmLcSfPmLQSh4mJXsTrbFzIQmdNIHGtnKH
YEN+iZearqVdvzxSTZYN3CySBhqImskSXmbv+ntWJY4z2ReJh/RU3RO5sIjN+VNwvoflwD4W7r03
A/ZNvNE3k7iID7hzjU7thlsFCRwWaAv8Tr8guak/vGqpLKGHZusGUcLS+kJILGC25qT8PpNz6ypc
S6iEBxUCqMH5fqV/VnbgKNJOYmO5RSfoprhKaZONKXJkcl9r6HNXkVgQiDWEu0KNS56VR4c/01/4
iVh2Ew7yO6M1yYZxv1Md/5J5NpyUflVeIbkQh8wyMjF7g8ZHuu2KSSWbrXUQN8hwhnV7j05abhvP
cgu5ZVglp/wjuMUlDFN7/EGzd/E6B/aMf0cbj8cW9wV6yNcAkYK7/MSpWjzrkOV/YDth6CJhEMQK
Vhdk0aaU1Dd5U62HJ3ejXFluga3hwnyHKxDfC8lJD3Qv7VwErsMPZOsWjQAuii2epspGulKcX4rU
qX2b217kdsLMD7vkdRyCbZEHsFYl8K4FNvbYiOvqtQV+4uBk+Er3IF1a3KpveeBEn8aBdiA1/2Fd
oggHrdoI9O7fFH+0p/qq2MxgmbRAlztrQehQyj/EAIwgXNKQ/TNTCFX0kaK/7D+mvdd9ztk+KjGE
BI/wJrAPXM7uGRyltdt+al8p2aczrWoCnYQyKWPKecuSN+3pio9hAxsQmAnap7Qe4CHBc/bJSV9A
mICmqjyzd2W2xFlhEcKUGoeB4UsqbGk3EugO3lIv6495FX2Yv6AIxCjeWBh/5qpLACBueHsBFRBe
NN/aF4skeE0NtAzIHMpka1/1eEmTI9ngMy39Ba8Di5v3ooTZhvEHtdquO8MrhM0r2N2zkNdRxSbJ
+wKc2OiXXrdBuaJz/4GVDlAGOQzgWKP2jIkYwdS0dMTfpHLqj7FwWy5af4B3A6ML7wQdAsW/Gvwr
cdE6pR/mVgyWaroSgH38cNsfLJppfM2/8McVWeoHjCjSx2S3q+gE6zDC5u2ZfljXUSPqwelbW5LI
3Lwk8RtG+9nTz5cB4olq5cPxGWaYhS1Uj46Dx9kLOOTvPcGVb9htQ5G/kmQ8Nw6ADuAEsLlKKEPd
Od9Ce7phycrthKAIO0RfDpgnl8vqB7JLbvsKIlMOzgPuV4rppuMqDbZW6LJDQ3a8yw7dC0jaTEcZ
7zDTAjY2jGdBvTiJPO0czMGiDkdO9WU4xhEELdwpWKaiK1+Mh+Kkn8czLHJo29DNsj1UL3ZnSGmu
YrOa5pe7hMWV+4gYarzPOwUUzxsbMI+c8GwPiXkJI/JNed55GL84NWr0tlBkMDkeW3beXX6PD/3Z
+FBteJkJcUW/g7qG4tXGO+GrJflBcUU8MwPyPHHHQSNCkCJsj8VgnT2qGKww4GB3m1z4/bve3BjV
ES8dm4D5buO6RkglQTTajj7bg/ZaF66GX8WwZPOxCGuiCMnXsOYq2YEjp6u1XY5bcVwBYZm/s/dd
j4HDSkheerTjhGIXZWHh42hItJqL5q2/yr8Nt/nG46brSxx4ZkezAAGiLcuup9ly7/AHVdWGwAzV
HsFmLOPNtwiOeKnR+2P4RBoj4pxPZC341XgvlF/pa/zoDzxpbNgQI4kIgygdSockuovajmjEZFNt
FLsgrxtz7Szf0KFyrYiOplqAYTWteWrxk45WqnDt5o1eob/lvXO91RvJ5jwXer7H/BWmwIeGv11m
J6lTTJjfovpZ4WlrpieY0OYP3D0Yq1rsEoATp44uvREVaVRrDIKV2qnapdjDnytmunvEzoK9O/fu
MC1YYoQOpGvtK6FOUecb7nWHACY1cpRwO8LEq+kqObZnidcCpiI0R7VfJvii68t5oeDIZLlNcoHW
XNcca/2BY6Oao6RtSJEkfFpHtt9F7+gPGFN47ZjyLiH5gPnPr1TfLBOmNN3lUbxzKAIKwtbsfvJL
jQ3tKnJD7cxNQUt49y+QvH9IrzWO3a6DdPkcoJlStflr6yTN2K8tfUdnf1fjMZhv0njFM6rOFlMw
0sFFPH0h3qHmDRFQHL/d/1J7lfBHGA4tYZ1bVwwvq5P0NXYOwOT0NXApKOcuzdtMDX5Aue7t2a77
UrORzHB0TLeYb6APwmWr7/o2/YRA5ugfZW7rgUtzX/0B+i0CxCdOM/+IDPBhObjBkrFOthGG7yJf
1ysfFizbr8qyvHNIThhM3riwXjs/u/UvtTg+GpCAUXGmxUH45EiPt4Sjbs1D8cJ5yP+HC+FYuZN5
b5p+EeGLLpLrDn6Hct7bxgBhfEmdgVWcE/FIJ+/mSM//YaCeD6j2ZEJQC7uEJn7vHf+R8gRQ4PUc
fG6arSVtme5QPej/AnZga5HwMtoCjJRKreInF/J22Mv/2HWJSgkh5Zz8HausuWU/KmGlmMvbAyth
UezHS2M43i9u7+zgOqYv4EDRdmL40f9CrtxG5/Lqr1mt37xJktTrZg9YWhQnbnK59TYqpdtKiw8y
bfuH+SiPqjPsQui/GI/BGMfCE4YstrH/OJYtcmLe5Dull7aLaUq2yV46adMZA32+i6/czHrENJeu
ai1LbsKADEqvNpcZnrTzCU9C0x26DULFfE9r131ZXzyc+H10TxaLjJ+ezfVb1AdMObfZiae3vg/P
MbJ5oCC0Zz8fydu0r271nU0xAj8Bv3kLKRMceaO+T1/Wc6pXGLETHQUJ1dHUU9Ieg/Gbg4by39uj
hSCPQt+Z31QnAjmQ2Qo5UnBNKR/etAuiCPNGvNiAfzjLbS+/wYxInh2My4S+Z5uc4sNwEV94R+Wb
ZFqk+2ynGs6AJSxdeIi50IIsEp4meYN75cE/E9QQrAdHPeUZFTj8yIfsKg7Pzj50lLXlZmdrN6yH
a/+SVjg4sCXRLB3xR2XpNicgcQYVgcvdqBYepH2ouxTt5kL60ihPbuyRWF3Cbk++JGQv3Zry3YeX
OmPOZkkKDNEAC4lqsnCqEkP2hQqnfU8M4QqYoH+D2DcryxoHUF8xbXNyTRDedpnj7e6inYytVUog
D5FxN1RY2c5EppQt+QOxsjSIurBs+QSfaN0akP3uBRtrDBYF2rBtKZFJ6ZEcCkS8fb4l8iObj/6t
I7YXtuFrWOo2N52KGTEFrOzsRNdHYXrNFXi7qAQ3yCO28Y6BwIbGwriX7ESH5IgUEM8CcL6JZwT7
vXdEJD6bPnRsmly8uz69df8a/ol8PLQJh/IF87H9bh6ejLR+nVxKqMsZjv4L7WHuxC+AKw1HzKew
raRVcB0efeUgiQO6INaMCol3BZpPXgEizmZWKhHMCf2RAQDgJjfcgUXaBg7eZDVjPAJXSLnbI9Wa
VW3DBzmj4h7cZ7yN015xjJV5K18+iBIjKIpxY5zVgDhaNlcVE3E+UbjpX2F/m71N0b6xdMDm9yDp
3+sa5vGluXLbSm+x7BKAt8WssCUrGIicbWQ9gXD+NEvjn/Jg6OH5TuqvNEZs0jo8K9NBSuyaZbH0
22Vp3ut2VdTuxMqnDU6WUrSGdUc4NdpeYaWu0b2KxDtn9shodWV+Fwu8w17Ex+AFOYFMI+Mg+q2y
yVMcrtKI9RmVxoKngB5+uo6n5NiQrM0Dcza/eximPBI8UCijEyc+sGsndDv0ez+jq/JQM1s8l0d/
R9QCwYRusU15eCiVOUj8A8ouF3/lh/bV7CPCK1PbxxXdTqp5+0XHOS5IXn43UfL59pyAsaq39S44
MGP1/ylv0cp6q7f9kkSt5fih/sOmn2HHFM6z0WDZkn5HYB/c9E189YTzRNtP2FqymLxtJZ6n6cgr
BtBWX162G+QFA0nkPWzWUbsSvK0Zb1F0zLkewD2oPsNFgjspWYjExsxn1l36gvicmYguVwwtFbQh
BkZZtmCupvqlkoYxzRbkjImw/23JXFrJcx3BTBSr63aJh355xTAUhyn+qvVSOgTMNrZ8+WDXCJvB
Zgbb/KQ49o4k1VSo3zb4EBAusmSCxeibB+A7e0dolwmkDm4z66JpqzB5aOvqJlnuaFLALKLvgMhR
jiybAKRPBD5+hUrGjpkGJycGHL0FKM30c03jUjrw941jhCn4Qjz4HzL7GNU9ymwmXNw9KuCY7Ad7
gvjIvAJx00UmPgEx1SJIXY4zpz0Ep0g7IOIynIoD0Vh2IDErtuwjH5fKOHpRLafFPsNYecrX1GjW
p3FPlWX2iH983WGpp3v8BRzzHSTAQPFI6wXMhPZg7x8ZnzZvUbeEKkquWPdGD89A0XqvelYGL/4s
4yOPNDIygkuF3/7bfOeQk1H6ciB1a4ti4wMLeo5vTjjsldlcu1t/VH/TS0mJszG+c31ROnGAT97G
8/YNzcFKeyk2ayLjhOVJwlhzzrd0CVMhn53MDxbtvFdz8yl73+yycpkmMy8z8NpdNN8coLjJ/Yz3
fLbtofDnkuKwgabEGU4C25HMZGqitin7haU4kYAvgJ3Th/Gksa6FRXAP3foWI2uRHAwVMfIOPpJi
WZ6Le56vDWHNcIGJA4E4TY4j7kaKzvi6WRGxz9TObBQUG7wVt/2KwXlWOvAOgTUgV7QS9WE8ZCit
hDXQEWuByq6wuzu47Ih9BAXTzTgTkaihuuB4VB+KW7n1kwyUQkAwu+zusrSsInDbfTg7IQJLkepF
LXbzH9ONvKFW+SADq+ENMoZglEUI6TyYM5plpBG/TOg9bw3WeuBOldNDSAk+9KPu1FuSZHGrqF4h
ZIPoXs7vNfwckiVJ8vxPWY/qqhvPDMwZGGG0phs2kCXlBuISB0k0Y+MHyIXDGOvVMqa8S2dhk57K
t+TKoW4hGtmhTV0pPwyMIvrRaqFsGDiES/bim6iesF856RgYEtL36z3F50jvS+G9Kd+zVbRFxIlt
4kLBM3vRfID/F9tZLCQt5V31kTmeI2yae3jj4xB9KjlMOZRNsAkhGLBda8vg4J+GQ4bp0jxPieYJ
XRjgJ8kKpvhCrMEQ/o1FxoYnl652U14mG/cJQSOWFs1Skfdd/i4CYTz0Wfm66gdnyFy8y8VoaTSz
OK74zZRdNYcALFJmZRzRXHvKHfQk4zqgv2qYubiEl2hsLz1Zh24ebyOTlIGD5NuBsWmLVYCSRcXH
j1mGC4ssRfaGKD/G5nqePwzyymyXCTk68TMpKGWMXSccpQMHSzVuGX1x9TD6ny+vZotE7BjMoxfK
e/Ub3tKvIVtmvwyEL7w8K2b+qS1ZRMRy5TRKz3pX/VZYqGsc6QtjH90LdWFeTXRsja10f5MloK1y
wQiwi9iUFsIbd4fPWNN/UIY95V1rGwf9BE1oKe7MK7NDbAKNHy1yCLpj3r00GBSqSAl3WER+jt+x
xDO4iP4x59g0x2pYNGjMolXfP/z2KCkOykPCYrOL/+rKRQ6yaxyMlchsRKS2VRl0rqbWJj6RcoO4
AZOMc2kxfoVPmgovxcLchglRMzxxCAnnOYXS82Xu8BwILsUdJ5DQFTbsDmiSIzJ+91buTv26DBaS
w2NQ2qVCDaye/V/pOjJv/sbruFlCi7gnv3NMFF7oMPSf/D10Gk8ZzOpQP3FnuDNSRM58E9716/Du
4w2wkbUVRjDfNSXKT2tzUgDE3QV/QzLSitni3RhXbBn1DVn9sFCf/o1NAT9qiGia6hTt3KQczUO/
Zs5Q6EsrWvD8Y0lzllb9d3xuGL4J5xbXMFh3d+VdZcgT3hLVLu7m14iSFfBn174xPCF9i+tZrQh+
IGxNWjaX6iJ+qbv4ZPFZq2XNgPOPjzI8po9qpeDjwFwJoAFc9MaQWSO93IH9Jr9k0gWJOQACvYmA
zUvzxMgHpXS6//ykrY5BGNbDClOg5tfoF829BBRa4uN64j2GN5UN7xbdpxvcgIyqlh0crTCKe2Id
eDq/LH7H2v9LuKDWPllhEsHGCXeB2egt9XCefWNwC2/KSX7Hm47Kr97NFfLAwQsRYAGF5A5guWuO
6Uk/Cja3NPooeLB2oVtdi4u10c74eJyHlfqlMDDsF9BCdvJaO5uW07zCJ48uniV2dkmOxDk2a7Kp
xNCB9wIsT9l5saVNtsKXV3YFKB2oONesJlxl9CvxAHIxf4j22Xx0R51Py/j2Z4ZsMfTYM6Wc7GAn
EBLOdaZdDxbZXV0nV2xB99q/MtjxfOlERoDVzXGUP2AxAY6h9arVFtA7ILqxfCHegDowRMSc46LI
G/1EiRmXb9ZW3KVsnxw95Z51iabqnoe28al/8bUWa+ZftggWivRO9gJiJ/lZHWRbomILqYgw3Dj3
jRMxqRlJK4dPt2TL5hOq/kqhsy1njxncX1gi4lt1gfcpMHKjo05Byz+p3gvlraNImhxJXmHGYeEd
/13ueSXIsqZCOsGyevQ3skB4nRDxAvkuO3XnBbb22b6lb9GO9cnwGvcEAWQbIuatOQjb+K3dwKJC
VsaUn67xKu+Jc+k3VOoFWx9vkROTBjFYm09G2FiRZgfpHVz3d6Cq2vuPbD9TxMhtGD68cWOdys9g
w6M1gae+4IQwtymWXbtI9gLHPfQ5p7BORBqX8OEe1WvO9O2JQLLZt4dXyXQXdGrrP2B0CHv9AirQ
AMB/cNK9xfHWvEAsu0BzvTTv5VPEJXORJm7xyY6NGDNadgrLRzlxgnDS6FgnLNTZcRogHKdTDD0P
frkcL1TZxhmbDjSSOeVxdRnf6pt27nfVKok3IfYlVLaPasUGc2pVFxuJt8Tf6EcRAgknM/DH9C2E
KzLrtt4uIsgO8poL5xGYhap3DJaKuULhZ7MTvCrDHh7MuqtH9LDuNKUNLkAcNnc8fU3KL8e32+0L
53eynw3qWhBjvmotqE8YqY7/yJuzXtEbDQMZSZq/SmiaHBRqx4iag7amXHq1k8tUyk7603zSqWJO
FB2tD++GGxRboliRi2EHuFjRXGIP1u+y4hiJa/1b/47lBZtOwEXcG4atxWvG6OGLnqp9qSPjEEdn
cCWeDIpdZOLn/gdTl/wWrbOjwoPZLo1PgQhLJ1VOqU+mPepDFhfBFFG/Fsd906+t7Boml554+sCd
s/soTH9L5n9PaghchikzyDEAbQJbufvfQ+zIHjDHkseH1ZiYTpqvSX0vpeUQr9qK5CmWqM3RVAKn
SbBl16yyKgddZu4KeMWsCTEthKhDvmtWy+SD1xopq/g6W0vn6PrWeE8lp1j1X2G2wSQLQvZO05fY
Z9BQ48mvYqYi0SzOFY2fOimHdTAfwP5tXDe/WEriFrYg2IrZgvZWP0mim/x1kO9x/CcXMlDtHGF9
cghhZvhzWInAWB8SH3I+nCW+xy2uIGAZSEJnmhKHR+Mv69IJOKsIE7n8BU1hV34yNiZj026tKNBQ
95zTjKVdfxZxrvvx6k+2MmxLSBD4abQuFQlvOE1ekgdltFgIuIJH3abNbYlDhWEEtbU8X34ke/Gp
6DepsOuGS5NfCQiT00NarJUcIvsSkuEkPEgC6jssOLcm0y5mkDmDie1AfG7yNepb1YQs9hhN4Jps
TVlCXTbHoZEEz+0FDKFkp+yWHTN02Su5HaRX9sPeElYepLpxKY9r4kZ1HU35InmpV+sMPanFPKnB
udEx87UgLCiMssKV8k9f3dRY3A5wOB5szKG+6e76V3f+G+z/Ofz9f87/95+Swq5OJpLwHxfg7+cC
05/RkQo+HPQAgpRjcZlWXr/C13/z97XR01WM/oxz56XWxjRFJ20BxqKaJ6EQAOX0CXVo6CMF/fuX
UcCo70dJ25T4MAgqveLfl/6+KU8ZhM0GaPvva9KU8W1r/o2//ybMArMK/OiaWXeYRtiDiUP4I/Uz
1/7va9X8jXIWJP793zirEv/+9f9v/P3cf79iqrM/qxB2jd2pjLf+fihNTLyh/v7596ONj4tKGMnx
ttOS6uR3mwHnslodIaq03lrhzUp6aK6qvs5dz29WIxwgOcJ/ZujJAdEzJ7zH7Xio/PEyeHVjI6Gl
40sV7aRn4QlXzk/ynq6KKnzKYte4aqLiucp4I4xH8ncjp+J5bb3TkOGLFeREwRXJyxOwajHId3QT
+HSxTzL61NS+m0aYMecgCFbGqJGwansk8M82sMGGQGjQJrfwRBMlOgph/Eo7lNZdSH2K4oSjT+fc
1ElfWBR1S1ADybdJ2H/mYi7vVA9aVO2vR1N1uCubCHvCShM7t5Yw22kboNH+nDaytLM0pg8oJn5M
kVm8qbgFafNjXNtmNX6gCiHhdaLgaDuS2T0oaYJPYZSEjCxD+J0abIu6K31nbKE11j0HYVwDNvfi
sCGA6NVF8jaHnTo7M3qMB1qrKNYitih5SDAnFwRvo9wnNUMjrA/n83ahhZC8CLOATNd1JCfIv7UI
nVlHGZrVkjtNzMsJmhCX8mT8RKn2mVngGUmI4i/XCGcxYCYMJtyXCvgmgk1BYh4tBkkFNnlybHiC
WJgLwlcyOtZTGkC2gxA4Zj/mkKH+xw99CK/45jU1bLGqow2IRjw51Km3tXL+9cBCwhw8wqrLrl4e
Q3gK5IskcnBoijbujSDPVlk6gcTVSbqtta9hXGuZgE6HPXAkOtDmkjv1AMVdCrEEC9P25YlBsSnS
f2IE88GrIKwbQ9IvpljbWswCOkQPoQTmUDVhhL1P6rTNvNckRICWqC2kY1SUc7S9CWlhaujIY+Mj
MIxmJXv6l4UZ+ygngFKmBPNY1NwxhF4b84l8FWxTDvThmGr4fie5t9YCk6KXR21jKC2GeMOwbsYJ
NndggQczU1T0/FGyEh2imsAhyw2KKMiRMZsZGS7/qj6odoU5nqYJTMQM8UyLMp4Pr8cQT5vmDOiE
2tX4YAss/qmp/xPpFdBawtkWS0BUMku2AUOTS6HbT+aIKTDWXRj/EnAQ1e+CyVlQzEEeDQOiStXn
RCGdzUBOPrUyBeqqopcRyhRyBDk6RnETY1qCTsjAlTumqiK4oR9xtEWKdWtVH9iviDW7YiuLilQ7
SXT/co9xEUEJXgcYIfsmTn0+7NwE9nf2j/wOYs5jdm5VVmyrLanIwzRc6Raj7paSJvL8YeVNZGuV
kG5zWYVnKGaw5xNxNS09jQOVTN7cHTV9p3MBOgI7F2nLMusmUHC/D9S1KUPxn6oIX0QKlbSm6suK
+NL7n2E9bCW0xBARTYAQFRsjzVySwIUIIu5/0oSUsjj0XwGxsovcwEQll+PVSKLyMqzwAJHJX3Jr
kwCVAaaq32WA/9WEodnUxs9qmh5qfB4KRlPkrGInNkJ+blnBAe5ZiQCIlTP4DC3BTskJuRCb0pxy
mRYmHr5FQ3wfBu51rlk4howx3pflV53T22+9QObWjsrJVIEcBZVALImz+o8CNDJwiUTItmkGB1er
rkMqqO9E+S5khVmlARbsB52bqMK2p4iQB50Dp8bQL+7Cj6Q1sd9MlJ1SBwasyImpdceAdPCRJXiw
RMKRbCaJBNg2wvRHYUwclVQOjaSIOKrllZsJ40kmBUXWDWJtia3HlE65JW2SQX4HMzSG3KBkCCe3
nSrkN0ZwyiRfPooyto9ye88rnpOWcLRmwKRNNsAnAr8OCE2nAdUY2k8a1iZiDNhON2f05MDIGvub
LHhXYQ6frUoh3sJFLMkMCzTqi8hiSG7tPbbI3HyJMTCll0YM8FEoSNHYrOuhd8hovlvDLFfQcRYy
A28jGpTDvf6V6JjZNLq10oa+W+oiGDxx57oh27EHtUSW08BG/iad2hyquSXlsW2q9EttD6Ql+/pq
8ttLSKaKYwXWQ83FBKQZnILHDKYcFkKmak4EhPgz029Z++h7mDj3WYStkul2PnzDTCSag9PoIbbX
sa8fdX6d3+LWI4EWvzhdWCkj+dURtnDCmDxCSwmw/CSRRA6Z0VTZ2DPGgeMhWSAjZsOjmBBJ6Fot
xXTG4KPThRYKtLispRGflcD3sAHSTrFHNWpoak5kz7RppaBw9Dq5pGk6rjPGPL2Jr6wqT7iWThAb
ph5/zHT0INonYIzGqLlpXCMQ4UUGOpw2sqW0OmU+S96I6s4eZ5i6phBXQ+6pRSIDsgS4K0KB90YF
uFxMHcltI9iX7IkMIRrtmYiABqm5nxqymNUS9kTe1w3MpWldFB0xUgNKSs1PnJwEnoWVIu2LMKJe
FJrXLjrP9F2PLiwWQuw0O1oYiCc9lAXfBDVUxip2jeqiECvvBBj0UyzT2EcqqEet0/t1nLA4GgJ+
GdaIAjFhhinAxYY5Uo4d5n16Xaz8DAqfoWvHkcxzeK3W2DGLbWd7IENdymz9bkBGgxMLeW37hhat
iVCFTJ24oQdBvgrkp2SCLgusb6cBUMujMaRJFO5WUpu2ZxK6TIgD8AdRqnIWPYTSxzCTDdlv6x4c
nmZEzGS79RG9ZHWEbonDJK2MZx1r8gNr4FGZs+yMYi20AJijGKPYavIfrjgtu2k9dVPrX2NrfnuE
2Q5yg+9F25H552+UgXmArIf9TiPSDCMnmvouBYWqLHNvZemn5nkBThBM8fPoPASmscWa4j6yAlms
lDVUdwXmmihbgV6ZNEYeFicptRc8rgntDfOnVFdfacogS4DEFhkejW8IhkXCRgIbTfohlfyRV6WE
W57oDP24Dz1Inx39i611mFMWkrrKYqgLQX2dDGMTEhEkhZAaZKlcmSV2q6mP5kfx9Q+l7ku6rzms
ewDEErJjoQ0svQnBGMODIpVdS5CEU8v7txvNr475WB09IXgfBzNY60TaTfYYpepFbcS1TxgsPlfk
UZdG53QV/B+xZrKtYqs4DDWJLeFEVGF/LskmWmVKsApC0CspgMWfRyUypLBFrDi3QAIZgAG1QN3N
OUTW0e8lsuBb0Jcqyu1Y6CxXLBjSJwGmh+pBF9II62bGq5qOkFGU/ml9822KDT/mn6FBjzvqOy5Y
cffSydyUe2to1Nsk6+hupUWRIkmbKE5W0yOIQtVFAT6tLWlbhAxzCFggnXPS9mQ+MkwphYVkwBUy
5GoTaqD0Qy3j7zqdCz9FcDsiJcXR0zCbEW5tGiynyYB31R8Gi1OiZ/ZTl7q0tEbYkH37UBQl2iRJ
eoaIMMgVgksI9aXErQ6bQXFEoXIy1L6LziiNzWiUO3VQ/WsRxbYvB1hBQlU0FRUX1rL5MKyi36eW
tRst2hVLK1bd8JFpB7kISeEs4OUbJiOgEYvm0HgGknZrkiElkxNvJtGPYBOmHu5Mafw2+uZXqHXa
WhkVy62z5io1HYHBKltZNsbvWiz8xg0XVAMntbRuE2jFe1VCMRbS+pXKIXMNMT+GXqlBAh7wSk/I
T9examoarkKoCTQlmIKVyk1McQIKu5NfgO1Jq9InTtnEONlqqJzKbNr3WvBj9Ck50f6XF4PsePGo
kTnDSdsU41ExpGMaCCqefbAUXFUqoBwXgGotXS+bv1VeRIuJShPm+EDOzN4I52vLKLGyVOB/IdjU
pg4Qw6f2rFGIlNr4UIcUsaIZNoiPa8mxtHJXiqmT1+Z7LnMO94mwiiWwIxK+YQrVgG8jwRwV0oI3
kaFZH9YEPEf1koB0eJN9bKw0iPmYMnYyLbTc7XSF84McaEQmWcq/RrhzIiZGthHCT9OUyglDqBpV
qLLBfIvTFJE3l/FJL02JBrpHUhZIo+/oGuLQvguhKY7YKXkerd6kxDcv0EM7aZnVcjfyZUsCdJeI
tSOlTIzoosHzzZicvarbKIJ+luYAHZEAM3HcCvAmhpTxkMmQQqFLhcKcTg6HFj4DeHMNtXWtSZxO
3GBsZ8QNriAPDxynIrWtoN8oubwKvIqx8hg0FzCFu5BI6DZSYa143EBBqsBAhvYjbkk51okvoZoX
lnUj7r2Raa2opbAggRtHyNKaftHphraSdulFBmLR+Ij8dm3Fc3RHICVu6gtcMB52jMKi/qlJgroM
PAlarTXrZesH4u5hJxfwrU5qllk7LZ/WZULish5qwUrRh0vXSXTeFcUM8UpAoaV5VHSwV1/wD5M3
F8sSi5O6FEJOfWCdp7bpW8x3rS+zaivQqGgnCd058uUDH5yc+5qGjZAzNOxdeTTE6CNWSPStNa5Q
m7L5EUdmq0Z8lQfY453SQC0Zub7ifN89+KSK5O1kz0qehLACMwrNLmpmnWKKVWoyYpeWluRvNhqz
PpG5y2CBTXMr1YbBhhZXyWGYcb66EI4VvsGDtq3GJt5ZZs3qMFXGOpWPygdKq0lb4Y8KQ2sSaPpe
MfD5uuYJNAY/aL4DEU5FBThQNjQ9FnP1QW1s0UDbn/Vc3QJwxvVbCDtNyMBbyGkudPLMUGoP1ZpT
AAF0pcDThY+ol3p/CHLDLSytn6EMNN4ypLhQ9lpHHxQIq5OcbbBYQsCtThndNg6WCmxy0StMIv5C
gGhGz7mqI6qq/o1svZoVjPu0xVk8GisdEiPso97SPFv1vP5Yx8G666bDJMrxLjPh/Q0TcQVtU5OE
4MEd9EJHi7xLXEG+FiaSlufxjoZ520JN64eeGIzgRFvvn5Pvi1sMQR7/o+y8mhxHsiz9V8b6edAL
7cDadD8EtQgtMiJfYCEyHcohHBq/fj+wajqra3p2Z82qaMGkCAYJOq7fe853epeE6apvQGdGKIH4
POO9a8yoYkZG7oWnTk7RYZRq0U5PED8HZWwdD1/D9OLkPlZUcx5XaYWyquF0IDnqh7k0t2MBnJld
8DekGZWp7c+5foxtoteWVV/wgWIwXQF6tpMEb7CT3JcIOyobhWE11fsmy9e1ZUSPpsYhMjMX5g/L
rfxb7oOznA8kmVPfO8mJspBc2WpGbDHsCsJmWShBmtf1ShTs7opusPgGqHXUuMaVbh3Ga3a+8oqg
3PhJyIY2CJ+KyeNL6HOgCoaFA3v4W5vFBnOW+JyTBE0IwveuMdnt+MMbDqqWD1Hr8+Txx8Yoquuq
ID62TplzGC0YTP8jkA9YHCp6Ulcy7MKNGOzvJrFg8bBMj6ZXMbBzyf3mu22yrau2TeS+RiXeUixY
R7NF55F38Xtr0hRKYQakJbhce6CsShlSNnVN3EBJgymy8IuY7pt2OgihDsJT8GQ2Mnfzw/GHx1kz
02j9m0xDk4eJgpyPmKV8yL5ikRR3M1J9m8DrqVz2sR5bOIsarhok+Gyk2gMtkDG3ztGcBI+eZiAy
MLyaaH5JJyE3tbTWpYeNqumRambVWDzOjvkRVFb8wd7myyPnWln+UxF6dDWd5ovz25vy6b14raTK
ui3rTu9pZ3qjHEHkJW+uST6ae+gGTqiJi5m36WirsTSc1ZIfW+Dbb+114qh650mKGAGrQTvDllMX
owmXaI+BkI7C6j8iO61WNkrxMqI6mSINjL/p97GbW9sxYHkrJguYbfhcQPlbOfllsWL4FI03yZi/
BVYz7GZfNed6dAPmXYa19hOzRJBTv/eDu1u2GaRzejOh0+58CsMeKQd1SzlrgMVWdM1CB7fLDt0r
WQHBNwPrqQpr9oZqNJB6YorzuldOXhAvx3ZaeUH4GAgZEnIeofqvm+eAnFZ/quFHlzW21NJ5dFvW
PxIW9Tonl4+ISGOHRtWusD9FAfl7mUmPZ2TtK0ZTQx3p/a3SRCeWhb8XKA+cXHS7yKAIDXByOlHB
KqRM/AhUSWZCOiClu+pjVpSgdQ+G2yUrQ8JELdJw71BbHGXpfiak4d4mJPDOJqbOwXbGbajY7c0B
jhdVUMi7/sZPvW1Um9t+gtzmhkV743wMCE8UC/+KHSHoZIo9JRqmDtE3IlM2wewg0u+ZZ8Tpu65K
cRfQjmbXMF35vXgJEd8prH54Xtxp41VkG7jdbiA2jZ2bcSs6TRoi0vZSo5UYKjj+IUqMuaJZX0eU
3UvXvjRVuZWkOF4NsRT7IZpugnF0riLBjNSLJgq5muJAGCiKIwMNwmSzYlj0r+SsbaSso7ESXfcm
pfGSlgQr5D675LgqXu1pVnvby05R1JiracB+6BAOzu68XasJH78xsJCWFs1mp7nTRgCKQUKbFzL2
ts33zuhOupmYJs0Dpg5fwytouoaTFcG5vYWXh2SUZu0lBbP9mXbEyBlulVphvk9tU2xqm3fVGM1P
v/MenEZ5b6GBxipIq++pP76brXFja//MufZu4JN9qSKPYAvyRuOiQbHS8B1UubtNi9eRXTFZDHBk
DNQMxTkbMPKnSN/VwOLfYsviRDJesR/h/OzXn7ksKEgv4LVLHNO//jGe9P3QLoaqBe82hl6Z3l7u
LmsRTAyql01EP0xrNv6QHy93Wi5+XVUXRNvl+m8/Xh7+L2//9fC518ief10XARPGYWcZw09+ZYxH
AgBlslxcfrpcXJKKdI+v9dfVy0+Xf7vc+uvOf/q3P1293C+CNlP1n5aONlOGVThUozpGWQXhYVr+
xN9+vPzr5frsjNxkKGgfdlg+sj8B/LhccHThuP113Zij/7zuLj5bfDTJq1Czt89mYxUaZgNHm1Ym
2X3tzF9ptAc3UvBip2BPQi60nIDpqepr7xibsXecyShbhwElzeVqW8+/35AtdxG+y+QBSPivB1zu
drlq0BQiDz0+Xf4p8Vz3ONrBkmhtZi7+Zbg9l/tdbrlclErzy9l0PqSJg3HbLzB0pcvLuNzc2mRv
lfbn5NoeguGwx93qoxVIoIidKBygbC20IlEzzI9yzsV1xfTXTdvHNmVA0+sJlG/ptyQkc2GPLYII
AoNn9I0zChGoM6Jsv0YDrUUReHQ/Uys5ZZzAXc3ELG4axoVAozNgY/tkYfClCyiqWA7Oy9XLhbog
+jqh9V7Ldl1aPfaGyy29LIi5ichUzwe68r8el18QgFPnk3ONLS67PMPluSu5pKbFRn/iz0nI9/jP
3/fbb7k87W/3udw0tkxSrKHAFfqPF5UtL/TXy7vc8Ifn/m9v/vUMVZA2O7KWDr/u+4ffWSbBnpT0
U25RAMPMYvkLFCAFj7D2WIaPg4tw0bbw2ZEfe85oPYOTgp7RBwXDMCOhdUkcs1XvRR0xFSjjg8im
4uDHqT4b3cBUKWOO38p9H/ebtM0PhkS3UpegvECsrKPQeO+1+dN3YwWRlkG8zin1NZULO06PXTak
AsMHnK6YWdoRO8+wcEYIMDCI+rDZRcw+DJ9WQNNqGm/hEwVYeZMNLGlhbSKdNU1Ce7JoXcm+xqzE
sL4vNMLPgL2IC9X3qoHhUagfvUyMja7QQFELrMHy3nW06NbY5VEX+eVTS2zwro4hg1goKXq6ZGuK
bubdLX7FJHclce7Woy2KW8rbZjXmJkKEJN3nnIL3vW9pAOcweCz2ZWaUIKcK8HOV3V1ulZzMCEC7
GS0GSx0TTMthTNctavBchse+HMlXzzBtpQZaYm+uZr5aQHEEWmW4HxNCyaAy9F3JbDECVx/N+UrN
IRIaq/3yZAaTOq3F2g6tUxkPHfLTCDE68FgZYAAxRfgtQ1bZMgdZS5ngIOpQ9BRkYszGe0fU+FYX
zYcptlmek1ABOBAfVHbX1Gy2U69CQx3j141Qg9oM106u9114zruddZhnG5pp7mTtPR/teFwiDChv
+wy5ocjrb7gMwMwHcE50K+VVHdAntbLE4xTYzAA5WB8MtxwPtWDvIJnBZqTDncRg3DAn0H37VJvU
xUClH9oChsnUJCuGwTdDZp0HJ/DQj0Ezb4Py2midejt40S1Rjh9FvfRteTkGhzDNEdu4MtIOZGCB
MSaLip8iT04EjGIcl7VxHRf00DidwRRKDN6T3L6RUEYcs9cr3dAOqJHATJUkCDKzXs3W+eFnxr6Q
mCt46DXtAL4w8XxHwvdj7+vxjt6jLSnWMg8FmO+JcC/g0dQ0Q46Ga064prLsYAXsgorQOInoMXN7
777N7Z+ejYs/yZ8lBQqO+gLdrvvWNya4lHb+Fu8NabFNmO1072aLrtdvPxkGLhu/wdgENXu9tsTE
55A0U6Wsao4C1B8palanYKSNBLYphLlmjGVvykx8yl7HLyXtrSgCAh4PybYeALdF9HW3kYqOZpYc
aGY+27UbHWreISN0DFqdpfdsle05VyEauIBF1FUDtjrX2/dOHOzbKrpu4kQfXbdgHSnVkZbAtYkJ
a2z6NzLqvpsVr0BViGBVdF+V1l0Tj2z9eL97Y9N7lIJON31ZmW9c6wSfgN3QwjNiCzUNOqwsQQae
etFrnCCqngsTpk6sKDrxALdxdF3OJHKYfD+gRxifbNdQVJiHIsTgK7uTi8JuwNjTaJBKLOdbZ4DG
VxlKoqlV9YfyaRs0EBLXjg98z0XfZtHaQ/xCzrWY3eFRtRqVYYpQhvcWAXMbGzfU9AD8LES3U3Fq
RSLvRMc5WTIWct1EbkfH+h6koYkapkB/aWfPk5t0uyZjG27FwoM7H322tNA6ywOJYSPvGjteV92l
d0lbgQ+cHdyzUce3e+x7ZDHTVdjTmfIkoql+iLbePNqbSrTDU1cOjC2Hp7ppTLSl8Q/b6Rz42I6z
bT00v6NlW9TwPClTYjQu3eJEHMJwpfFM541q4Z2QM2P0t7xEe203UYtilNaHOzb1roBRyRgfJew4
ladCDi3oPNSkCDl2swGDf0gxVUADUhlKY7/x1MF2AAt5Rnxb5lSi8biQEJjebaM0aA+tNG/rGV0Y
w6rnbs4xNfX3Q9PMKzug9zFVFvZCU7rHIeg+U0ipNNqKrzEFSTjouKBKM18Ms25414n6MjxImXU7
nUwvwNjWiS0RkrTwS4cGjyNI1e2IGTLr8XFsbfTgbkK32FjPdjWfWsQ1uSfV9SIy48gVZZ+cs2pW
G63UmT7prWFeBOiJuykJlGfbIfSua9H/D+OcHSfNBx3OzY0rE+A0xMbSRhjfRIYGJB/H24y+/XGo
GKyoABvXmDqYhsvwYI7Z24DgVYzjW+4zTDf99LqbDfTRE1YL38bCZGpnJT2k8BOBFp1O82O9nQZ1
n1cWa2oRvldFQzO/xeLr65csMBM0M9Wjz1CrmBMooj5nZmWIL3/5qvo2I5xMnfXAF4ieHdXePH5E
Zn0zmFMFNIe/PsXxbplYsgOFBbmOn6yw8SykumF9QJejaoQIUEB5OnUcfOB2jJmxQS3/drlhDmDj
1cJ9KptWnsLYe02Io96m2uyOhA4gvFourCHDTCGL59iI42OsdHic3PGVnGZsJYUzHS2qPeQlXGjD
kxtPISdI0UGdspoMzZpUBnvpHkaNvRsX/rwp2BfU7CODprR25gL5vFzY//jpcvW3l7g8YIFjH4vN
5R/61qacG5dXHgzWk5HlQH7EYK4DvOXoIr+psT1VxVTsKB/JHxymrD0GdsCPDNIBoPuFs7ZCAwCJ
DncFTESl3xyJ9t8K0XleSvrLhRtwKNjLxeVqbAR00Nmwrd1Wd8cs+i5JdZ1/e1FO0wzzpp2a+3g5
wjOX80Gbkk/m821hc8kmorZBl5TLxeWnP/1bHxCc2PkYjLSd0pxcdk7GBcQvHfIR2sy7kV3Hhu4C
0P51cSFkd4knVyYTZwJXGHburYXMekGkykyyZynM3bhEpfbLRSoWyP3lerJEV8w13ZgwJ6njkmg9
i/73GGylH/o2sA6+gFgULBdzjpDXaOt8NcD/h1QFLPbYVbjOdOldx6JkgfBt+zgtKbmXn7Rp2Mdq
8EuaGbRi5cKIrR1nqcU8thxcu7yGy08+W9217yLhipNz5dXWsW0C64iOvY/96ODV0EzsDNGvrGJM
8LnlEpLrPDAWKY+FFdS7OA2AsjVv80Cdx15PrRgbEMUQlOY6kgaWHdE4pNRazrFxUr3uOIeSIIT6
QNgslQs6GdZluGQcLDyxPIKmUCEorZjWTY1rr5yevQxzzLsqipKdpQSHU8iWd9MmBnFx7CsuFxdI
tzVEiOlnEtz+gckVRRKsdU5DROugOBW9hX3J4IQG1YuEyXRMExTOXNBfPZQtMeYj89HjvFxc3v/L
VYeWYq5o5vB2SwB6y2dA5fb7RTjCUAnQCqzm0ECBm7MhsmMHUemwKzsULzUFb7iAhH8dgJerU4qn
vJxmIv+a4NFxhreqwlPXz4tWMp3ThjzR8cPBHs+6Lw7DWJ3+Xbl9E7utMd7YwAjn8EBzB/im5MxL
zxr4ZLYjySnbCNxh5vf5K2YDkdIm3CCvhue4CZ/qD+OpPDGaMhGpotReakGYyykF8QpHkzjHz/Mb
eLGv8ZaJRfQcPym0HjsxQThdqZ9AFJcv5bij7ckEscKXxChgunLcDUMQEjFSwJFMw1+LBTgGgmTL
oj4/wpPWA6DXbUe6T7+O+735MN+2nyVXJ2SDVy5iCBBHzADfbL6+Fpm26/aVX+Uzi0P+RaDTA2Y0
hoQKNzjCG/+cfFjsYrCnEj3CEUj7ifinE96pNt1QOetxhyPEdrex94kYBrxtBWj0yXq7B2C1Se46
xnFX2IwRWjwZdEqNLbbzdAFNBefpU97ZZ9RpgAs2S14kUh1Gr18Vp7N85T/6X96N/Wh8d47RI/14
ar0GO5YDe5eYyzM1A8uK/ZZ+m26jrxFv+LcBBna7k2crIaLuCl3WwKLts5HcujXRxiuJnPwMfHau
2HRfla8cBzjgZ6YTTI3O+Sn9wHFZrYpoQzqn1DgKcMSit8DYC+ChI+8tYYS1Qh4HKGq4oxJj3UAS
H96fUVvsxg9J0tXDj7DdthNS+fOEzzuoORnuXQKJxaOR7/6Aa7+jIpFl8W9Fp+7KpGibv/3FDuC5
Uxcu/374+ttfEJ6Ynkk54YkAaarleT63f74/JEhn/vYX69+rehzS3LEwaprHiqRxvcl+Gqdyn310
R/kA5ZRYOcrm6C4R60ntaCuKc3A9f3KEUNei0csXtsvkL4FxEWXTwcgXTmoqd3FwiIo7mJ1DBUN1
7Rg7I7SZsVM37Gwkf68QTVAGvsw/oftt1Va9QeG4xgO6r176+/RBPVUvLR2Hlb3WP9IjxNrX/N3F
4LLrb/Ij5350mCYHLMb6vbObmEjsxD2LGVqDPbIZ7NTIp/HtOxibpp09rNw1344VmDeUpbOLO6p9
IaN0yZ+0q7Pfb8jm/qH7L/9JncHxxj8xJmBoED9xQHnzyj+xS1sDTHtLPxBDml/0rZG/Do8MFp5q
PnSsNrCKuYVvNbwGA1k/UrIDhtno7N1zyLaMHx8Qm9XfkFgEN+WWYO0tXl16wznv3xFJ1JtIKLL3
+Qda/a1x77xAwdyGG/lj/vAxdju75ImMXX1jvwbOJjl3B3Mf79wbfKHu96ZaYZ/aYL1v78EAInhW
30rIIrheUDZtkDtjjuR7KnADfKSbVXIoPHCtV3zDptsFAfDkmKsfgMkSsaE6WJP7ud4DswT2yQQ7
xkB46hbjxQmfAjj1jfXAsNKKqXTOtMihiy/0Bg5bZHw305oqY23Ue4gMB/5EuXXurC+lDvV+fGcL
zktlQrXzjvXbdArf2FfuqNy21OZ70phpugFauHnzvqMkRCG6Oaa74LdMh8/xf8PO+1dH/gL3/y8H
vm+blusLPwxt958PfED2DYoue7ixg/4Gz1K8XtYYDq9nEb7ai8L0KoHW9R3bDMomjEbPOJKahfi9
aJX/H19DghD+y4uxXBfFs+mSffDnb6GXtqOvw364SWx6hfzfmgcykAmIhubc4LDh/LHGZ5dCx2AO
dlu1t5IBLjbLZ/wjye3l5fyvf3pzmr//B9c/y2qp7OP2T1f//lQq/vuP5TH/uM8/P+Lv18mnLpvy
Z/t/vdfuR3nzrn40f77TPz0zv/33V7d+b9//6crmklRx3/3Q08OPpsvby6vgQ17u+T+98d9+/E/y
LhzP8TkM/vu8C7TjMimS9z9GXvz+oN8jL4T3V9v1eR7bcwOKZ4vMid8jLwLnr74QrnBRG7Pghk7w
j9ALJ/yr63ku3T7T8X122r9CLxz/rzwb2RTCF4Ft277//xN6QXnGb/njoeYG/H5HCJ6Tl2GawZ+O
+6D3y7KcpLVv5/reDxG5uMzaNsR30nXDCpSSFtnx7a1rYsaROg8rWjxw4RRDmCu1JJRREbEBsibn
YIubEoS0ZY/Ep40ET5SVzvY9sjMO8h7wlvHc6GQz9cbzbHUsD13HLBMSrZPDeqKdlPs9Nu7xQaC6
kV1wrM3m0YeREzSYegu6GoJcU8vvNiK+yX7Os/5WRRAlRIWfN6SLNMnx+9DcJS/aQyHCrHimUYSe
jBlUIz/GJXBMYUolL+mBXhPLemOtA9/Z9MYBVxvxv67wo61sCiLShOinPbEkqySzxXEwwUFJmzDz
qPAh0Aj72DCv3gcC6rAX+Zj6GM1dWW5wmF2gab7ASiYrAKDhRBJoQadOAc5RPLjWwIN4pwd4I/V7
OpJmyuj6QZsvefjleISvJv11moTPI84hBo4jiSMNMwQ+vock6hmqOjbpH8sFHWhlpDAlPPiXWlUS
fbPE7dYSfF/GGLBss5goMDJqRsOMGOOGR58e8Vrrwn1NjUECLkl27YwQL0t4/bbj+BvNYf8cxfVr
6a07Nyf6WDQ/x1BU5yrxTznNl73qOnaTlG+IRpI7u2s0icFFeeo9+INW3MttETJnnGRyq8z2qxr6
bhePKZPKJApfJrqsL9NsHarJwniPqsUeFCkOQ5QSYSDV2s18ax+khC8LIBXhsK0Z5dz2k44OQQIr
0dFdS/sc+wrJIp0BN3Ne0LNV8VxNvFOhHLHFx6gSLFee+mS08U5jcNcYKw56NHgcQWR44NwYQjAH
//cu4rQX6Ww4qsZ+YcgJrZM+DApjHR5Gf58Ql7EKclOuVYBSIc1/eEP4NMS4sSVY4MD4iEk23A52
BgQvmgL8Dps0Z8PFWXgqPGdXMMjUS5qdbRXlNokDttos7XPjMZylUuqL7KG0LAd6fe8ze8N/6sAu
MQe3PIwTLmqNFbjXqL1KXz1Wyz6jtKaPcbTBadopiNmuP0u/z3Zi+ap5ozusC9xSf9hWaTVS6BgB
+QJL9qIhJ3stF0dDb7Hzb5cLl5pUMVZBoUmvAQlCokP0EOocac+4AtGBi+AzC4IdQ4r6KtWLlchl
N6o0J/VCA/i3vfynwjL02yGbNPLM8pLwRpdfuVDftDKjbZQDAa+bzVh7kBpLAcCGXYhviOZ4uUAd
cEimedh5DQBh3AL1kXHk7JBGqiBtCMOn6x6jPM56+mJhJdbO8sYwsLxOlX7O0ha2I4MgM0Pykfb+
fIyK1DxGSrK9JusLT5NsTqXZ3OvOz3Zz6t8Efupfmgd17Rk7n9R6o0rvRI2jrPFiHA+ohy+bR4Zp
w9F2UQG1+Xxoy3BLz689TH53G6chCA2bsqGvRoRagyLkAuqIbgzgIZ3BPLBZnL8uXZG0x8Cle7qF
NVVT4kuLqX6MK3J5nYn3yCl62PaYFRDo4wx3yh5A3Ih0fIjfg7jptg13YghWHTX2jv0AvGP+MrNw
PNrLRTQ7KP0fMgbeq6EzQVrTB12CER0R3FRS8NZCn8rKVB1GIIDNKKbfmiG1AdxIRZTyXVcdw0FL
JB4LMrN4H5Sjtt1k3ckBgWXHUrBaRi2TsJMtUgmKoQ6lU2/V957FSmMIPqU6gUaB2KFc2XY6PeRB
cKbRg2dYGfOuPZT09+5cNik3gclYOBfzCXeoz8G7DUaN072ST5oW6y4PS0jewyBYEYJ1is3xWLvu
zo8bPgwv+7Indma+T6CLN9DIbZs8Wde+iYyS6cRyIhq1e93QPcCLWwxnooseiyyKdlGTke6hNdMs
s3zQgG6kpfXLpEvWrbp5u1yTcQOP0MEg67TfhsK2rm2rcW9mj7DWOjfkrrQya991hJ8UkeRdj/x4
LUMTcGNmuWerBuzYg53Upb7PAiD8sFf7oJ3f7bi8iXVWXSnlYFIYNEkTdeh8463FBDO1p8msxnNB
D3u0s/YanZ6zLWYbCxVSM6RZTsJGO8LhQih3StY4qa3BZFe7IAXOkmUtR90YUbO6xoCXy4j2jUNk
+lz64siB32zDBuRXM5fyTsYfbjR7p7J28+2kK2sTj90dHqOAJb8mE2SYpiuP79R1OcqPil43/fNs
2GdWcPC8UhztpYni04/SbkjbQQ+oocfsW9O65tmLSPIx6CaeyxbRdzc32FgC5ncGI6FNlIM9bGTb
bOwmffEn6uvUgcbEBKwj0ign2iXOg2NYx998TxVn2SFHrhLa+Bn9sv04BfaxLcndGfuwffQmBIp5
cxsV1W0cluWhE6a/y1q7X2UxLKXIgpCg8q/C4SzShnymdRachgQXHfrdp2SwzD0NYIt1okO4Hlje
PseGcWUVEtAWzwVpnxt4C+myVt2ORWkAdZrdxYl9l85d/4hHwt+VjXzoDAxKSdpON35YFNeEkF4l
iZk+5J2ZbCMzfJKopA3DeYkY+H5vPHakSZ9V14x7+z7NHntnPlrCpaU1MoK0RovurEjadz3tcnMw
jjGD7Y3T5MTXuAFGf5V39MHA3Js6PbW9S0pwX/ng8JzmIASe+KEM790hcJC51PrUnEIHRyLuC2ZF
wmn25cSnOneaMs4K92h0nsqgg6qtYO8GE3PrDvin4avbjPj2zuvrswzEdC6qcxfCH8LXaR87MV6L
tqdHpUNSQ6R7O4vFOJLddqMjD4Hby43uudPsU5eRo/XWzYG8s1qcmHYd4ohGOFdxyEa988hHhCLE
P1Odtg/GxCDZt4xXbLWKtnShnpV04ZimO5kxvY+GjKSRsZlPpn6MZ40i0h7yGzdCuDTRZycjwn30
TPavidLGbWxO8bXhs7QG36dCyjuKCBOqaQQ12o0By6Z0yTDVMksT3XPvktfDoKI8Wk3SPXdB5rFm
DvZqnomEcvm2TUFZPyvrde4sEJoDHw+SAMWA79piBk0ezcTHYQt3XDzC/j71CDVAhn5uM4DJ6Cvt
bwmYH6fzT0xHcdmK0TtXbXKiRcLJt2vVOU3n66jojWPVLOyKOFxcbhnnfQJvrxwjrnaVmzjnoY89
tDXh2RxNqKRe6zzXHF8rkvQmrGXyXbMZQTo3IL3WlbdPZclo0cFQNpQJZmNXBfdjr2/DdLqnp6mf
5tgeNzUWU+BJhjzGDD2M/FSlU7q1iZh71o79naXvyqkSSExju3Uk5jkVc8RRhZFpPNLEUnGSn0Wt
PtMUfJNjoBiY0857zeDBwj7Liv42pkTcTA3cTeSCLZSAPridOuchnELGcBODM0xN6bryUMTSkgWr
lEd6ZzSC0dXMRE2OXrsyGDnsLSlhBmSOjfRysh7LiqfLiia6H8v2W9sgtzalqJ5Ne+SF9W785fX0
7/oqeNazIAEL4PAoyMJI4UCqcWRVr+fqrUFbjO7RkCfl5czPhU88bF9+CKX7Izpv0B5l4W2Lpn5G
en+Rn9Iphj+u1snEQu+Wtr+OpooRaUL7twvgL9Q5GJOxZaOT+t1LrDLzEDkFjVQP7Go2mzuf1Y5l
SttXkdnM10n3o1G0bCbIvGMdczpvMwrinsCa5X01sDxvCzACh0h/m9C5nl0p2cp1Rr8l09c5eGpy
90Y7re0UbicuIrwuamn5YlR5jVV0SnLfu5+mXkEL0ecMVwaxOwqVkKjHmzJMEa840amo/WAlROm9
96G0b524bzZJOMDcw+04R6P12rI3rGf5IEcJqL4vin2pYgSNqIwPlsX7nkogRy2hQ3mBntAowGuG
M6wfkyHJNo+FtfPy9ufolPDas4VtLoZvhe6HtXIoDk3UqRiS3cM8O9eBFbdbVbscxog95iGJ7vo8
uu9iz+Obg0azwgfkG4C2yoNMEUEXKtN7JjzzlgOtXyUtqQBKDlh5p2pfRY0BvnU6p5w+Gxb7W5FC
4U4Duj1FyZEfJwruPu9oYi4TfUTaMovZGTFxudJBc+AkUR+Nrlzaad5HPMwWqQs+qvZwQZjIRgAR
GtC0opy+HnP/PulgP4dVtqf8DTZjzyAl9+W5qqsAqL9d8sx08LUM983MM4va+elFSGhr29Tr0C0g
6w80q2RlNQ86xS87xXGPQLsNN6ySwDyiFPqrIyCQS0WQPBXG2o/kzaiC7iZ6owUxXGUh8ktFEwM3
rgnzQ7nOoZ3EfdIY7X4cYWPLHp2T8Bmzu32Wn+38evZoVHNmsjdNh44qisXrhO8MM2D+XETmLVnM
HIuxOqOC7/h8sp27uBtDPrW0SvnbvLFflwP8aC9D4S20aR+LujwZsuerjoL6OKjsHM5ufOoyYpWy
iD5qmnX3huDAxHqYILPfOFX7Y+7c+tTbtGebwn/XkuH+4Pb1WhSteTTmkfSoYAgPFsoAwhKRa2G4
RO9cvVmxPa3yKpFUfQ7UmdLNd0ZKREU/9fFe5d5VmqWQWiLPWQdVP+5pnwOSnNRdEvfBpiphZFs+
9uZqDtA7hOXJmwxysQr7FHlMOdo6G84iGjDHtJtBzOF9mKfEbJSMLtQD/uH40Q9kcl271p1pkFBZ
9eWDoUumDqHEq6sN93pU/VmlFHqxywAk9sPb2EMHVfQInutkN7Wue2ISbpbIBOxMgoLD7sdrr49m
+Th0zPGynpsiW246H2CQMvLkQJuTbbcNiFoapDQ2TvTkBogOBfkSGDm+t6rhCLLuCi3iN3yCdHHq
7RjbN03PCMoqdXFjlyDwHFOrbYiJAt4tZ1wREdeEtnQBEZglDPbufhRoH9hRYmEMkl3j4sbE36xX
le5g6rskLZUBDpyESXNpUSAGzdOEqxURHKBkPw+RtPWxvbFNL9kUGeR2ZJT7RmDdR/3xnVM10hsL
LIzfEX4Xy+4QN+46ZRd4oM/7LOOi22VTaVwhEiBbbhmy+s+5sRrHksqlzvPtGOLByRqBlDiLX1A9
U9bkfJ9s3u8tpwBY80Mmx/tx9sg96Psva+yf4hJeX5ph4htqb4Ox6kdthj+8HFSfstQn0Wn6EM+4
oKvUv2YzjPTFXzJbtG+/kNYSW2H4bIdIEYco2M/hTPFqVRJiMC0Vn+i8AuQhPpnixCCSiLSmq95j
QOS8E68uXepDmZwoBeP7YgYNyemHVkL+Grc3RHFO3yI5ewe+cyBKalc9KCc4hKWcDoZIz33fvVj0
PphHhZwO/g97Z7LdtrJt2X95fbyBKiKAxmukxLoQRcqSZXcw5Ap1XQXw9TlB30yfe+7LvCP72TCH
CJIyRQJR7L3WXFF5EVziR8MYbXqtVrGekeReSwO8kG/vQ9F237mhvwVKvK7US4TMgwb3xhipRivV
cMYPkDga6uOa5dIlJgV35Q6YikPKThKGWeryiSJGHx8D2XyRCsF5lLrhOnLwJKhkvhVG/KIHlp5T
YwTb/n1qk4Hte08EIdkQHEvWFNroX0DfMQ3MKjG02xTeedhVjG5dTCYTEWSRDSY1p7iCRmym+z+P
3oqvKX/UkoLfYH3UMzmHz7bSn4cRLioSB6bCHjlKP0PyzcbpqR8995mhXzxnOV5XK2OilH11DdrS
I0BUwXM2PFZkQkMereIvdoTDL5fZ1xypkwsKhv5PHZ1z34lZqdMaWNAhwLAih8+WSkyr+/ZimdRf
PP4sAOwBrHi4CnNDB97FRnagv5fsh6S7FjgRnlvDQenkGflKO5Q9TL/tIRPzR8vYQPgmyCRLCyva
NZxy4BFoNIFjdaqfeciu3wqxJrs44WsKrM9uiP13RNbL7I+m1PRjcfalVa3V1CtUh/ZHBg6jqcNz
VkC3nJjQSWYna4EOM3KY8slOg1Oc4eVNvGLbOn3+CWsn17+MN33vvsSjtzjZgHLG/Rp/7KeypkGO
zB7msayj27DcRLL4Cmcjv4qcE5Rdnwwr8swAc3sDnMu+tS7QKlR/aBO8drpGFRYuwRdTeEa2hesL
Q2gnsR+2JT50I+UilX7+2DSVeiwNzrCyir8ZBDagpf1s9e5T3U8fOra/NmG/bQLRPuimuDQjekx0
Sx6aulWUDc4rnzLyyLG/CLv6ogN3l2pq3Xl8nZkHWeegHC085yxmoMtO+k2oB+bO10b4z5UXfZL2
6DwA3KH6HMr2lxvDlS6JZvHMkC06Kx5svfZFS/sxBQnZj/2RsjXNcM5EUpRAtMfRazjChs3q1whh
7qrEjl9khHoVNXwuG0cTMSMRl1z/Bc8w6BFxxjUFRzAGcZA5UmwGwDqL3u/zaLOwDqvys6A2YrDe
EGO+BR9w6osFdK55VVWiE4if8ZFUhCe9c05+dXNTU390wk0l2y9dBGEECfWbHyTf0Xe429Qwj9XU
j/DS1ONij7XpuhptyiLbxlppJ9ZNYMLPqVGQXKHHVZrhy15OXjeivGLclFWTVIoD8kjx7S2cEHZk
ETbNQrtIY3N7606oAUIveXXLdm9n+IIoaLPJLI155fJBAgTS67414DNTsywbvj6zSL701AeREMmA
JSaS4JE/tsvnX5nhnVJwZEiIWLDrtUc311tbC6akdKt+p1pgBNQvv/We/qYM+JoF5YO0YqidJnPX
5IY4WrBkrVCuVAdLtKaa3Oj6p4yDr7Ns0bzplO8pe+oTj/gV7R5ZM9h+c1B+vbNcIkJcOrouIcN9
SFiVmArUEJZ6LlOqNEPj0m8AQ+dhv17NZfs1SL2rskBsmjO7d5Rpx4l2CEph0qwP9Tgsph3Q8SFl
Iz8pCUiOj01VfQ8VCzl8gRtcs9AP1dEf529mluMbCBd3ftIfxRh/C90RMT3pI9TvnhNzsvZW7aHZ
IOvW7RmjPOWcJA85EjlgECGHSKv2J/by8QLVButc+H203eGdlcqiNinOIlbbMRjfFGvuR9cIIwre
rOxKh4+2qbTA+dTXX9OAuJHeUOmlmyg51MbsbTz+NoKFQzrfVLwnnyuAL26Antns9VzaQGIXukno
oWp1US6nKj0V9DsMp39DeH2QoK7rPv9qOgZBvcYvI7GR382ccdlSXRCkV44G2CazyycGKh1s5gL2
+aSILxJD/xr5Wm/rqn32FTL52M5OnWN4BzuDr1EirTxnHScC7Y2aPI1ory2DmaNgN1vyGncoQXK3
MHviiN1n4YJ6bOfmSyIr9q16MHaBmJ2VMGjA6oAkHjTUSHEH3e+MFHmBn3dnzxGgLKorqztos8/Y
Z/yVbYzEXCqqMK1JGmnte5jNADS0ERtPPRRPRTXdJPaRTbrIq9h7rorWvcqRkAR6tubcsNv2PRT2
mYsibPTALBlU2OvSeHbKJ6tl4LWJXu778gJG5TabXYWbG0hg8pQ3OI2FDaolkl5EwFl0CetQ7tth
/hrY5rd+STtvNJsk9jHfGG6sLii3honSwmm/QY7INkN0jgf4JQSkTxsVCpC2LXTErKXvXwdOQ75c
pLYt51+ShRnZdFmxh5PAWqf1N+6IfTfg62vD9dCD0CcxELlC0XC6o/yxm+AXYItfU+q6V2HSzvET
fU17dpJxyqSwVK1cCdtfxYwBJvi0lWgIlKy/6oqJQczhe4TgT7bVg6711Zo8Mh5s+0M2oTjmsfEM
Am3f6RIxiWkh/C7o3wW18+Tb1TfOiNyi4xJU1RkbMrob00rPhc+KgsZSCJ2jex0HjNJTP3cnJ6v2
Y+eDYvKAnsX1vMIX+5b43U3WBLp4NU25vCM2T5DQoWT2UWTkJlCZf5tK9N0agd2qj8ErDc0kT6rq
VnOnXtvatBD5l+Q0mWW7a0gIdEzUF+AKto7hf/PLnHRG82sZDcPGoR6wm9DNo9o2rN08D2Qp6DbY
oXCVCOmrJURPfXbq/JOi5oxEqdWfxzHBuU2LE5nenNtfxxITXzVHr9awAHQtg/x1pcB3xnb41Wo8
3OR5flF5uKMtSVoD0JipiSD2vA8sK88J2U6TQQ12ltmRGnz+GFBGmHNzX1ms8PwKqGcArKx26BKO
HrHRln0zGCPZH1qfkoDIIl2Rax/IwxSh23d83WwqTS3B5X+q+ok8H13+LNBFb0r5Y6zgO+QVFNsS
4g0lUpb+NWlDNZ9Yh7iNyPJYgzXL6SXtsKqEj0IDch1mzduoIIeX/a2zza8Tb47YUATV4Hh+5DJq
DkZuTlfZqevQMm7Vut64jWASk/3SDBmbJxxIjx7K7Mjur5NdUqpqDkHC8xry9Gi97twCvdMMFUOO
9jak94Z4LJ/2AjdwlQw5YuH+s98kGOLtt7YdQKlq9WmYy1cc7i8yUWu4TrswlbswH/N9OJjpczUY
6XPCsvAgTP8lRCx+BP92TiM5PGFmZgiWxoXel6zOedOVp6FjkjVVvFeRQZXMZiuNHqF4LwwGJhAA
btp6zzqvn1lq16sxcvYerownIzXTbVwxV+XxWyocGw6Av25EYD5zDbMArpm3mGgeW7didYE3HNLD
sqEHFCWajuE8J6jHpFYuqievGC/jzK6biXWq9F5m9XVwTNaFLu5xjLzmsCtm+VX4AnCNifPB7LOX
iRwBOYKIctmnI94fvFVPGdIrKVFY2ACRE6cjWgF8HOx+5hwTYWJCJJvsa2PFmEiR6vhDSpciH+Ao
8fW0Oxn4n1JX92efFkPekAM7BjBCmqwifcKw1j3G6Tjxo0OraPsn9SqraI/UkfsaEkvLpMaYkTrH
RLH0wkUzG3RE6wTsIiu5FU1IIuYwP2wjsWw6gDOcp03OsH7Fc8rYHkfz1tT1efbtZmWR9ypmugC0
D1jDc2JG3bekgnyIHQD8H5yT2WKExqw7Po3+t6EKaWTO0ydZcqKEzogtjE2lm9o/s4llbDov4RqG
fBPJrz5xfo5zc6qwS651FldrD38sfwxFPS9u2MQCsq1HS11VqPYT0JB8pkLr12/U1/JD56CCq6xh
ccBeYnalC6LEueCuXjtj8CNVQM/dQhj72iA8QY/pR5+n5boWN8tiHG1Hoqxn76YDKMgT5rlT5ek9
vAKXnfFA7bMpv889sRLOjOJ6UJ71WNjdthodvg2Wu61vRuu41x+DhQRuAOpRqQ+teurt2YdvTaBj
ah/r9Jw/qtIk370HOt3HWL9Vj8Xeccj0Ko3kaQAP5NsYs5rh4pnBlU9wI4OAhAUiqoe02w19sGrG
eSFnA/rk/AVNOXXPRrh0roQ3saiuHnufEEpQYntrdp6mqVRb5fU/jZSgaCZn5VWbRjpPc6rjNVi5
FZoPei7OFfTAu4V9D2FzP7fO2tM46PxM8r+K58Lronc9N4SLDBV25gwYmcmufusVJhZnoWFSwULW
8w+jxJBqTuMP/iCw2k5vbKPmVprFzb/Oczi+0vDaCOlVZ9mJJ0ELcUoFJFKXDS2wrFuaK49iZ7le
WnsPUUL8gJ3WW06fs6ybC93aehV00c2Kw7NXo7OzHF09OkIdugglTJ4kazv2MwwS7efAI6x1cMdt
3PMFzaxJ6LTCix0oYOMcO9Bcmx/KYEbXrihkgGTzJxWy8dfyIUEJDFQCQo6sEcshjkmUBGdQN+PO
GEnanuyaSOLonZafBM7ztUwBZweFumSBuNaWfTJM59bXKYtMNztjEqIdZlML6vPwk6+/53kYP1aT
jS4jIDUkYwcoAb6uHF8WILu43gqmI8TCfedU72k0ieOibWLtioK5b8dhXQ6EsQCD2/ScEdvGNEkY
qHtcZGpEW+6RnCJR1q+UGglFiSRq4YEcT4MSA7u99BRE0ztW03NZjNmxzgm5CbvsIevkIYytXWKx
7XK1RoKSlUdLYkHv4wZOhuU+9blP34D+E5lvPrGDBT78iM0TgB2spTRXArmHbUs60MTM4pEcNSLv
NqviY3k0HvXZbdSlNvwjG681pT1izt8S3rnEdVpJKhIjACsyGUQ0XnXXvpm0NucILTlW91NW2Z9M
GCdIkaPmbDm0KtrUBxSDKj5p5c2Pc/0pyAw4YmkCFatINnVNbBysnIcwJKQdlyr1gSGkMtuBNy4S
3qCaqvPc0whYlsA2enB6efGKrfl0GWREUyz8qNlcPzoTMSZ3khK5QZ0eXrTFIin0XaLQzAzGqSmz
bdaKhiSMxF9XLpKmNiVRZ8Jby9dmunBNMcFSVJmf07A/q5GiaBBHMXmJLwLZB1FSTGtlUJyDqI3o
F9nWPmbZlVvocJFqFAMCqTEtL6ZKfaaUia1HNp/sQB8xg7NY8MaNF1LBdorxY5xoOwuXYkzr6XI/
eIQu4idLHW/tOH61cY0a3wO+gTZLuc6aHV5qtYr9mdj7L0GqP/dBlhJu4RKm6OESls0hi3rJLHcM
C+8cTdA4gTEFGLIV05aCKzhos1gnSXDpCvFhElNkCVTm87JpmGqK2Y3YlEObQNkb5B6ddtr0T9I6
RY2Z72Ov+dBWCi8r0Lg3XTzTthle+oTKrhdkP91pTjauiVGx4rpmq+Ykg7/NQvbITjX0V2nsKkRS
u9IGgZ9YMB5owgwANMkaXhhnWfCYGs64VtJEdYQOvxjUzXTJRGLFRap9DOuprIYVxBEyokR3QcwY
7+0gZvHtEUMKq9GhLsaV/2I7S+kmKnZO1x17KPVtRlNh0BHXiV0BLy/g0SQl70zZ4Dcp75FEhHdP
1jjs8DWbONyYeWGZTO0ZKt6rn4vXxKZcOCXdFkHBalAUjbKBNNRWffilDbvoWzfJ94nuw0PsIt8Z
Y+uW5Ylci4m6iB/Lb5GXWUC86nLdl/UvxETaWJq3sKJXmWDJXrMbUWX+CgZMZ8kZQlbtATzuwtbc
9f68z4iXL2gvs9IqZvGRJoDrDSaJQ0LHax112qX8VZzzImJ7yfUEcKd4T1MiB4vkB7SjQzOG6ugA
ui58FoGa6aqlDrpmT7yHITO9TfW5baaBYDRBRGlqIrPcsxYD8pISyKBFea7N9ORSk6fC/FL45dXp
7fZk42wKGv4AN4TR4ocOm09fIydWytuVPacTyy5cQVNVfjRGXD+UBJoKRq+9Efvb3vkF0cM9mt8L
9qcrszfEXlQIN2UOMw84Z88ggJYrtedNGInmFJHnO1vWr1gHBOTF/SfLDCgfSPXeg06Jc2k9W6Ai
n6nOQfQKKQw7tIVp7YHfpSW3pb7erPWIlVsP4t0kdmUxgZshW+6I2EZ3FKDz4/GS2VftP8VdYZNL
lfB3wxx5iJ0QwMXcU1Px7HWoUFOlMTxkt4OAQzRrWvK9Vim1WKtdkud8BjJ0Z/NDljhv3fA1oGV4
xK2YbSfdXzmLCEvuyNZog1NmNCxO1VKspdHUVs/xMMs1SCZInezvHtIm/oyq3TK6/LXR+aWjTrwp
cLbCsG3WEe28x1B263hKznwF9QvKqOcpmAjQyCJWp9ltkt55qIsvnfKwrvjNYyrI8ehSXRDay5LY
lrSjJhSxXUUYXOs4K6hZ6EsDhUur+d4mGd3pCf+ZeRCtEAwM+Fin2bgOkIKpEfo0u6MUrA+u244w
eldCxrHLZWcAshjKpc8CC0gzYGCATITE1XR5WAr5j1UA9ytHrmm6hHt1Vs2JDXa/ncRugv2xzyPC
HxJbUFzuGVMHBIePnSq/DUz4h9lb4MSkOPcJ5V3XLj6njIvUtoMLahQCpsxo2lE1aJt8l0V1gTMs
AIMiqWdIcliTItlbJdoXv7tA/gmIElqQTLWgtRbAHgKinUdDvU1tUsibfGBc5uMGkhVg9+frnxUw
myqS2DiiRD35LKC8GXJbip5qNXkVBZaIS3DygSwk1b5UvliFg2QkEMa5rfOfQZKQ/LOxtfmlgdat
8xmSYHMT/TQcG9V02F2sXVMOrO/zWT4ytq1jB4ha6HtEviCMWdjRyVCCrBpI+Ab2PoApeoq6AREj
dTSmVDZwBbI8TruHTHNa5l22pgXEbqxj5TLTN5t0cqsK7GZOG7za7cfdvXfXA2fZBAQpbgmbjumA
Ri6LlQk+7UOlarQTi+aviGPSRLJ+bSbWz3ki2BOMFlLlBK/rRJ0KSua4N6pO7PMmekLfJkmesUEC
NmbzKfPBk4Ohsh8bk/Pl3lAbEBCGOkgPGJFX6UCOLU3ZeJNldbQXIBFrt6oPKKMIl6gpzunozY1f
lGWB/a3IhugzYlQXiWeBaSbD+kqOoK7ZHpJNdBdbMhNc3BkJmU9IoHTsYUu9WxOUFJ8pPVNc6apP
7UKngfNk7SJcvoLapZIWuI2AAvhD243moYHOAV4G7sXydgKpqElyd5UmL2NDrAE9HOgyUEMefqu/
50U1SIDBjWJ3vTEWI6BhL1l9QwCNephHiATU9BAjzAGIO9Ff+6CaiG9gYZOg7KiBI5n+cmnmfKty
grEnLZ+SuI8ALYQJRwZ1fXERBGxKM/5eETIxjlwc0hBktgADYAFNCIfv/xjaAXv0gGTckrsxiSlM
tth4Uk7ENs9vPfPwEtKAqHRB9R8MVZAskBPM7kVg5AbXX80edPQwmL4sSgzaNOrTbPYkCuaoObF+
hu5WiXLXRzmB9LPx1aICQXuluMIJFauxL4iB9rwzOvSEtqj9tZh980C/iJt6LPdxTYM4wpvthqxh
fHuGdOemLLyEt5L2LYXiv07c5rcz827PrNPowAUHE9bLpsOYxu+yQPJqmU8SlOI4UdfuQ31IsHpr
QfyPQnMScmiN4PHSeFgd1YfjERghF8lw5rtbR+CnqlyxTy37VwjDlml2QvLnBwRZZclCCyc4JKtq
dw2fkjxL9ucPU5B2a+SD2BgFsu3OGt8c2yKXjEHOVwOYROruwJEC74CJY2UXyoAIC5eBmtSipY0m
CN4g9ZEwFvVjNHFKdKEktbSrPtjifvY08SVTrs5MgDFc8X46lBldfq9M3E3d1Tek0+M6ztXNZzsg
2JEAuNrmIbEtWUFVc5rAoFctuXSUGRFdPVovrS7f5sglH6803mULf6iPA/TG2cddOaxYffzWOpOK
3WzdxL+ycWDxNH2IdDEHdDNOU7e/GL4fHmaTWOLwCbU2mdhzVz8mrIXDcIZKGhT6kUazeyiKR1iZ
wwHZ6cYUXAk9UzTtLWsFPgMdphDNpnGyl/tVZQVUQ0Y7ateVGR0NN3h2+N3r+2l5Vz3fb+Yl+D0L
LqHGBtEZV1XjM6EibuIWWYhT3vSWWf6wYdHxeVQuHs4aq/0koE8Y2LCtAKvh2ObWoQ/Q3U3miWEb
YfLybpsS9Uq9nClmYCZHdwpJrkqojWs5LrPD9CWynPYA1ZpfIbC8VLgJYLcxxYxBTfgy25W6DN4L
xzgHMol3DmOSHPJbhj+B3PIZmH8GD21dDeFPvxiZ55qENQYCZ1SjRHQBH3AT29h19XJ2J+4hXZzj
5iK376LQ3dn4UE1J82ckXKoTYbCtZxflpZPvfdZTFOY0vJ2e3MSgW/m7u9276fUPCuTM+wKrl2RC
v1+AocOQQP4BnUyDYnUcuo/hsAxydvrSW+S8GxDg06feEv0jWDeEYXF4G1Iaqv6Qhcg/NgqxDyEw
LZcbJKScbEL2qH+xQ/03rrrF3vRP7iLfdISH9cahKmfhe1ncR3+xk4b+2LMx1w0K9eTnLGD5JAIq
QSFpJk0RhrVk4Py1PQGua65sSih0zSb54VPG+7feVvEvb8Z1LE/YrqPYithiebN/eTNZNExSmG25
M03k00q4zSabciRHqXm2q/qFHQnxu0BmDdRXlIIizKOdU6yIYpnRLZchfJmXlEvrpOK0OC1KaErN
typK0ydJpawY2lXiThHVJx2sx8grVsqOjIvLcjIBNLWiW+ccuizvVhgLWliRChFlR6fTijsS3r1k
OngFC6cxzbex5YIK6mwya+anxUf/i879N3MwvZ0FbRFdLlIjppyeC55+rJkXwWNn9O7rnY0/hY9o
gs0r6AlG93EQe9gMxVYsES+uYP0TZkyboUtWxJhYG05H4wsBdMLBUL9UUcYaXJ+mWZhHoOa9yow/
zz5LS0kOJdIRHCrEQyXSG/a92+0Ds5LwVap3uxnzE8TA8hg7bGymoLgZVeORYQ0aBqGk9VR4nOdV
EzNMCt0C6F1mzNlzLubSXyx0cPITI3yjiJKF9MzZdTsbTyRPo1JUYVq6EkhunW2WBQjaSoI0TaDD
dLUzf2szlK4p/HRbxA/WpjTM90zM+c0Q3s2ts/lcUoxedZVrr+u4GvBIgxpDnrXUoptvwJTCo0bt
i0cCYohlZ8aJyuEPpgrrABeb/n1CEXG0cgLsApy3igQpVTAIknegzygF4dq44gLwofymozR88K7M
EsUHQoOY5LRoR9dSfPiIHleeXb3FgU5PBl1KVG0u532QniJ3ZqKntFjmtv3JNvA5ZXMC6nHcqYrg
MVRt5IsP7vw598vmMa6yX05l21uTLIQTfpQJ/XTavPmq+2pl4LmagVLYOGXm2ZVNvqD3nsGYmudE
wjmE98GPBSfU2bE7csmrklB3r85qzhc1UxGk22/qHkNeqGy9ur/y/hqs5VSMpiL6/URTGeAohokM
LUlVAvlZenAXpHKPl41wa5slqYhxjyOj20fC17dWw6tzLWRuuqXk4725CfqBgkY0VH/3sQzVjGY2
eymnsj6XvgQ9mSYmVyW11JmVFCoQyH1ck8VLOx7RDuXPZg5HoJIO/FNvwsqPcx+sLZKwTu6lRVCw
bTQ/ayMiFFC1zAAlVQzcXlDAysa9sd5EVR1csppTv+8DdL8RCIKwDLBD8cFeujEgL2tMvTMg4CWB
jFRIQbHwhv6cRBjPh8DvtjS8A1x7A9A0q0qqS0q6YziMrx5KGmF14bpNqdKhzBTHODE3WYDxJfU6
EikyFL5KJtQCJwW0t2x2nj24pyDsX1rop2c9SPqYliZQB9BsB2lw5fUzpbwSTCefWbMJXIIUBYUc
iKloaCLYfxoqQsa6OCqcp0Sa48Epy3WWlv0xcZp7jaljj5jjxi7hJHZ6HI/KR1RKc7rZIBiNt0rO
3yjxNlBLkwzkA6HCmRevREhZ5t9MFOpfxmYlpOt6HkO9iS32bxNF2lgkILVmuUNRAMIfP6FrFcnB
tPPkJEabLO0k/dlwHuOYyZAMeKBiaf2nZDSZ8ckejItVs1EqSKV4o9fyi2riv3mLdwf4Xxziv43Y
vnRx8bqeY/99LvMaSZEPDdROE4eybsPGehw9GnhoveyjmZEX0ud58jNgKHdT6LJQ0FidCsd4HpJx
ZZnXrKD0HlE+hBYCV2JoNNAwxGpxCf8NXZJFoZt+FTXD6qFlQU+pE977v/mgsQ7/bUYmH8zzfem5
pu/44u+ABwMpvTnpEtkYxDc3FM8Y8B4kmw/4HYI82/xQlcMpZAykhlVvY00qmaTyt2H0GdG3V69u
E5ONpT9oJ6GaK2sDvW6OJ+z//k7dv6Eo+Lxxv9um59uWcvx/+byxIRpBGTQo4ROJEIp4jVVbmXJn
e+MK2h0OmXb8rsPmWnde897J73qiFa9k24A5wdjhBTlhAACMdTAY2zL3Pxe1OubFpAEU5GD1UqZ6
0dQ+C2zbftBBzoalqMRhcPGQCRqgD1WuwEuMgHf9PN/a7Ck+B1L/HOaLMXn6WhE2BTfF3YWxL3HL
IvU3O8o7qUIYQWU/ppq0a0w6efeP5v8b8j9N1c//+o+PH3lcrOKFgfm9+6u33jJdsA3/Zz/+/8g+
2vSf3Pi/X/EPM75l+//pK9ujUqQck8Uog8xvM76l7P90XROjPatC3/YlV01RNl30X/+hrP90uNwh
Z7qecLgEuGDasl8eEjxEp51HHUe5JjqZ/xcvPovQf7o0l/cDrA7bPwAn/lDP+dulSYzgxJ7cdH/O
bfer0VOIdl7ET0NPZgkL4vkjZpebWl3yA5kHkatsZq5N0lISUwRKlQSZ6mjUVyK45nXfU7zz8ea9
NM3QXvsYC4mXVS/3m7DvBFSWXGyjcKpewrpyz73wnpWyAJZ39BUf2tQcDr+fjHnp0IPLo/UQZjhb
smrjkElwpukatFl5/nOjELCfvaiLQJ7GiKfakfiOPw/ff7o/5/7TMCjjFOAKWX7J/XBhB2+Nyhlq
QmNctUhA3jNCSETd9D+tVB8nq++/TI0uVoMW8ikL0+yQmk6+DWnokTANqK9W9rBWcyERV5bNObcD
BrkuqHYMJa9/Dt2P32/+HKu9bE3MgY+SkRcZsWxPI3YDp5RsyNnQ4Xvhhh6UxgPPT5xpGRiy/F+O
g4pFxlZWdLHuz77f/L5f6pTH7r8o9sZ9k43oEe/PF79fVRQa4wghR6qBeQBvo72GI/1BdzJwRlG7
OBpDj/oZvVV+TKcQLeXffwziPD+6FaUpH98M2d+FR8e3yPX5/tOM/HkiR6NNjsuj9we6GlhWIToP
2SDib0bG+ktMxB3rgyE8uH7ovSMBD3O/+uIHVbjVaOGUD7400vmyklSYKawYySou9aOX9O6bZZeP
aqzqL9qWxU45DUvn5Wl0F64l4ISbSuT4l5ezUHIfDSeMthXdfsVW2IoPnlc//74bxKn7JANkLDmr
zK2Ek4nr1btIaQdcIHSaBl2DqcV9elFW6V/EcoPE+Rj1lnv8c7yPiuCg7PB6P3S/6efZv7hZOpAu
Nv7jd+BToZ8d6hycTTKin+VmMAU5hznqeUNzfv3tgftT/hxr45ymWtSWYCwTdWwdXIVWW3++3+tn
FzjO/ce/34+MjIf6rFNHsovwSPSugwaCX3G/KRoaLSsxEDr452BMJh7RJlBpuri73W/MjD42C/Mn
Igu6W19Z3bEp4mud+8mPwWqfJjPKP7DsWcC4/fB1anNnFZfKvrC1nLdSW/kxSMbqCPxTs2v0+2No
Vsb4GnWsjteBnRtPEUkUD0YNL1cj+H/+fZMVSDYzi2je/31o+cnwiA/B6uezfflfD8SUcZ9/2FpH
/3jt8ggUHvqNReY+Jja8XapkFA8t/9PAH3S737g233NPJ3n951gczMu20Tnnve5uDdXtk+kZv18U
xEm4VzESoYmAx5NPz/DE9vp+J07gg/w+/vvHCHzdafKpWIYNjr77k8blZRR1IqIeokCvJ8eit4BR
8cmbQrhltXtOqG6fKWRHT91yXIQWxwOP2hWRTu729/P6OfjH43lr/nAoYOEy6rYGFulb22TTDUDS
8vPvmxEfd9hOSyU5tX4fmxWjYxo0p3I5pHHunTqVvv95EbINOML//EuD37+gDIdLjcuJrzEqnlE0
rIlu6c+kDBbPvw+lfbtJRrDa97uZ1RbP/mTnf5775ziC5naTG3DaHK7pQz6jkJ/dITiPie2DRBX5
d9KwDCNDj9wRkYbXLT1jIeYJ4h+zwr9/AnGCZSXCf7OoBKHzt0nWZ9Vr48rin3Ad+++TbNlKq+za
WfyUvup3HZ/4STuNdbKFT1SForm7rfPu1bAtE82mW6VrLCbltlo+894jH1vb4hL2fFHWIMq9ORX4
/pYH78eikABLRejMASOiOFv4OXII+N6+SJJv2SwiUm2bbTWHH6nNGZoN6FKrqUDby737zTjsM4m/
4vcd8sVIQIyfu2g0PomOgr7p+/3p/mCFafGxKJpmf79rwrRuJeYxhUeD+GNhHJx5MtZVZiaf56zG
5J8nPywzps3cW6+lXGgC8Bk2k+Wd6JqhrcSn9RyTvrBtYAtA8x+ss0usxloGZvGKFQl9cQvcdspi
oi97kpvtEYdhNAzuzei5Qc41kC2igj0tquXukD2hLjvd792f5hEcjRaN/3pqlXv7/TTyHzEwRLaT
P2MAc7daJsbW72L1Cmv/glqXJJUQFBdn1/w818187P0wgGOqy28BlSGqnVZOz2tG5KqvXSqf/rKI
/G+qmLb9z5sml1NB+ZZQ5LMKyebJ+tvKTCU2sV1tE/4YlWmtsqFJb0NozVcnXKeJPZAfO9D7oIb+
LL0p30zEUaP10Mizq5wtCWV2tCWJPjp1xhkwu0RQGZFxZC0KejAn1qVGgnT888D9p/ux+/P+J2Hn
tdw2r7XhK+IMK0ieSrKKJcuy5X7CSfvYe+fV/w+h7Cjxzr+/mQyGWAApxZJIYK23yO6n2PXcTwN/
m3yNscKkXjDYABT07IbsoHVXmLGy0ywH7Elndmh/oxIdmIr5Ntrt2TV68x+wCAuSL/43akQaiHof
HHsfxOBQbQiG1M8cjNvmfsASAa3hOXo5lFHgafVGRxziMn2eKOOujtNIHLbJoY9EtIXRWu8KLy0g
nxukC2PDfXPy5n7Ucu9HqGQbQMnYu7iwpTS3V4+J3k6zQHO9rLuULtwPKKDzIdZf91Eh4ls5T4aw
U88R3IW/xlc+5dGA3XMZuzAA+K1NsJNhmXUG7sVq/IAZe/ygFo1KjFVBZebxgwH29sFB938Th3a5
lDE5j5yAsk2djsLhfJpseuB0t200vl1D5tCld/Zk7Az+5OCDen3L9AhCTmw8xxhopYMQe9nAP+ip
KaHNms3P/euAPJIxVAjgEP1tuK3gwQ5knVefzmt0H2FGURtfJkRpDsL1f+Cioh3xIbJebHAjvuGH
Txq4wnMw5jc4PCmPharAP3YNf6nhHf9V2ObW8x391Z5Sa43IU7Lr/UA983D5JifocfKDklB9Bsxb
7szRVNeFYiivVetszKLXvroekhOG7vb3IoaWw9MHgs88kOBtGm/8SU+XmWmIJVBC/w5rhuBuFDq1
RXCbu77WfWCOsGZLrzmFeaDCnBXBGUCAu41shLrloGw6HAbGSlPvZO86o6TWTbGKs35dQ85AEcm7
XKOBmk4RiwIqLgETaca5/nc5lPVABfFbfELm0uDlcDhNgMM2NvhhYLCt8uJ1wbRiGwc9NHCUF9XA
t910eBrIUVENaOM4yjmIM+WxT9uNNc/Co7T8l1SP/mfxxUTAc95Oui6anpor2NfyKPyt3uEFAFOR
fc5+xLpLulvv8NUFOvW1iIN9F1cYS8dHLaTMD/Kmg/Bu689Om5u3TaQc0FwBYxsaA5LABRbY8unm
xAmSwGOQUBnPkD6Kmn5cTzZiaSRk+39RZDT+FEHk7SN051iahc+kahukBf98+4rmK3ae2MY331D2
osoRUC/CuNvGqVMsLn03DAK8HZDGGma+/iXolEBiQdje2M0YO4sgMAJ8oiawFxAjVvKUJta8ZZVP
2I9WfXQPT7ZbZWSqUSUV0b2MyQYGstjUoVos5IA1j9oVSNPOmbyx/5fFyZx/+C03N39gBv9P0xWW
5vCYcT79j8ckRQNcDN53pY/uSjfLXwbsxtrEMd5q6FW7DG4U0E7DfItU9ug4ILKFIkXwVOYpOITC
fDMcfDbDHFSi7KJq9j0x6upkOAqVVss/X84uMnttNkGwkdcuAYfVFAlI0mf9RzhQ28Zwtd5jl0fu
Xh5e+o1d7+VRbJVFuraKEaX6vFVu8jGDzJ/nEToeLvVGRDrwVLZ4E2a7ix2rw4IVOD76ErZ9aaKh
RkdZ9vvImSV0dQBgKShd+bw3Pf8mbBrnzdTAAQ46xhpuXlRn7hrf5YSK+9nCVhXncZoSe+fl+CvX
g1u/J3is42sbf6nrIF7HAzd1a2rQEHRV6t11YVAimiUFf3XNcRY1NZRzSrH5Dhee4E4eySYA+EEm
0WnXnwZCZOpu//cyY9aW/Pzxs8s3VJ61hi3INP/5hddQTlHdIRJAPkg2HymaoLsgKlBG6j3K7uOj
4TY0tgtfK9SDNeia8VEOJEoD5EqMl2k+KPxd4CdARnrKFpq6wxm00Z2HSIlnT8bA3att+gL13nsw
p957GLUi3li+i/JQktvRUs16aIAUwDfyDDkRo8ZXHlHWXp4h49QX5qvKQOabjryq7Mkz5FVTRBaW
16vgwmUsI6QjUIPghcNZ5hwIjGHg74QAHVZNl8O5L49k0wNlue0FOx5YQxy2CAliImBt2zjO1v/7
U9A+5fnnXyGpPspPhkkGB2PKT7dNPYScVYSW/j0pKENgGhrfp1XyCMcuubULP76XTTdq8T3CBRG0
Y4gAMibnyqOqsY2bHhjD8tPAUPbNrgMw/imOq2d8LPrzp3A8v7ruR4cmRwTwen05rVYiA/FubExk
97fGgDRatw2SDL/e788zkAzQm1lI888BBFjiO4Azv51wfTFFQ1MM6Zu9PEnGQ7NJbwMHaGSKhQab
HXQYpyZ2YZPI/udDOcEDAZWg0MLc3w5/Oy0w8lJb/tfF5hMapVBW6I+4q1aWTdTEuZNHOHnrZjvc
WVF7Dgf/bPiVcyhzQH1O3+ZrK2iQeNTzwDnIEUHi9SC7Ixm5dYNy3iKOgCS4StA/17pGnRvxLnJu
A9aSVEZsZVLfcYepl1oXa4fJd7KnItH3Mk76IFpD+iu2KBxp77p4HPWuesMwWEB5q2YvZs7+y1Wp
vUz/Vp+SBahrgWr+4gK0oGAigDiQwpZb39+e91GOEF3f6el30jx8wsIbqEi2unMX99W6Qd1yL3t5
pCOKFehpckOOGeXtecpvI320HbykvIRQ8gjVFTUxl0U3mpLXycPku5c5dYH9xoiEPIY17UbtuW/p
MehebWiOGkIMDxSjWPHZNsXXzH2QoazJ6ltwVyhVZ0hO6HNTTKJapxEYexmT8+LGgbInRLuRsR4C
WsoKZOdUmbXPtN7ay6NrI2MigEfFLZoi/DzP1jHquRz+7bzfhgGCjVsFEtgUeubn6/+/L3d99bLm
kYj6+d+muk1j3yb8jcAUD8ohtzPlII9QzXjpYkvZfIoP87RrDBhrtXBzc16MkTm/nv9pXm/il1n1
GEd8GsjzEhVreUHwRKi68W6XvwXlFQVJwa1L5jBoLXPvxb25JymHD7W79+u4qtdKQ1wOOkOMwn8K
5+oy73oG+cYHzwNifQ1dT5PXDMxN6J3JZ4Pf4r3cqAg4vDS69W7Myf54EKuGzMoXEAUd/IGgRP7S
dE+Dn9xUwik/nNGZIGxV7KnaEveDGidMAGfi3SU1JRMdIgkKUCpqch70Pt6Cf222WRSseor8+OpO
28KxixfY2qhnJ807wqIl9tcxanYlHDvZbcPA3iEWpS8vc9NW31TQlG/g5JYvfYWkyiENc7B/Wduf
jCGqdqMqJrzQ0TTpc5L4mZ2gzeO+A/OoqSFoFGGUcHp0yskBOo7kThUb8xO9nR4L07YXAnG1rYxZ
EbSWMUTvfT5BhihvtOssKNsVql7ToxzwfAPf4Ty4kzO6Iec/SFIPtGcJC8qNyItjSF2tLne8wRqw
FkU9ajtqJckL7pSykaPXO+N1IObZYulk4q+hXl7kekO9vtI1Jmdrvy7vbbWdfG77E4aO8KRBb8jn
+qU/P9FHzaKKg2PtNXR9/Gt/WQ3IedfFwafLXc/lT4Cnt+ybWh/8y2LB+K8tlsXmSsz/wKhRWfwE
W0B3tq7cKK6/mZUPzTEsIFV5+rotox8D+moqZkN1cbgc+u5rg5wgetme+s1XvKecu/iLFhgqWA3L
3ddAU+5Y4IJDrnJMDuISvm6riYVei+5uGgz3CZoF2sGq85ZpaKp1Ni63A2Qx9NbaLyiXiVOSY0QN
keGdtP7D/14YzTXQP5enFnKXLpr0LI5UTXzOnGpu7OgDgtLfxEwGQmtMPAKOXUzwj0+yh7q4vsnI
XCwTBSb6MhX5g6+xGZOjaT9znvS0QizFNtdxGeF+itHwfhat3MsjwC33kJFIRM1xKp4CZ6f5UDaz
4A1wCfW29y2PooTwbkulq/ZN3KibLm+a+wAJayB3cfLkBEjvYOlqLlrc85YQ1RVe1wp92Eo0ZFIV
IMUcydhk6tGutb3NNXSdJue2cecDlJnPUKr5WmHYHf0xLJ9ZhFlr2wkzlLRL5aUZU3WZmB7SlXMX
QOKrgmTQvexhdlQOU/PiYnx7asvpoVayaPu/PybQGv/1Obl8IcFLqKxtde1zstJTNHUoKkv5GipW
sWkzDE+SLnuQjWcNiDAk0Ym36ZLWCVP1LoS9AbU+ewitKEMS2UfiE7ErVyk9f9l4vjiFzrILu3Ck
qvzF6hW4GvMFYVpmpMRaSglmdby+hoWv4uCw4JLXk3ElrJ7h2a4aiEEPbeG3fPyeu2+RSdvnUTOB
hQIqnkSwdsO+g20Hkj9NcvMfJ+k3WSKcL3ovkIixXP88RihrdVrm7dXYbm46PIJWpsiP13IQUCje
qqHFv5eIKviMrmXAZadENLoZah9a+deTUORTk2XICdA/DMp+lJ7wtGpB0eXHJkg0SENj/PsrWEp5
Ci1cPCUeNE3LFqu/6hjGKujQGSLKj2K8QQgqvpFdrXPzNWkUf8ihsNviYHrVjywu8lNvhO7DYDhn
5EzFW4XYzLodePplXiveygDxuM6NzgOSuAgZ4QhZzHHgpuGNOTrJLvPQ6Y1i1I/J3OV7c0zWoukV
CML/aQJV/OxWzfDsxR059nOgdxDbfzW6Zxr7pEVGCXZ0be4SK1nJmJwyNqmxh1CpbeJZThVV1PZV
/1bZnfGqNuV4l5Yqheu5iy/XADp8FGtRhcZrxQNy0XeZf/x5Tu6X5qPmB2KDiG55dAwEZRL+G99q
cTephfoRpjCChNIduqrNz2Jks69GiEiNSEzAhTRv7b4ZnwE/bFNqLh8G1ZcbxYjTXd6G4VsEDEHO
TwPN5tdZmCywON21wCNiRolSb7Ylkdv+G+hZwzXk02+QX51tyawV1DLnUoX6bSlu+X1RpW2Vf3Vq
djRG4Yh7bW7KKRiWzex3LmN9W1QUE1V9i3RkcbjOC5yi3yONfCh7o9k7pEIWrT1oG39s3dcOuaGo
06cvaHPWKC04/sHMvfHWwMrWh6VyyizBAykTCD+E9UmGGsgAm25m2V1jcsCCt4aaQ3fneZyJN0EI
cSrX1paqszVKDWAXlAv6vRY4yKt04Ehk1/dnfJSoRvir8lBGhQBGufxtgjwsCmo+UTTsZK+Zr3aZ
PZ/tYj6H/VQs9kgWkyhVvOJsDkEIL9kh14d20qNfiQbBFbxJrQhHq6jOg4NsPCZiZwr7gkJGtrrG
5JEzj/6/MSPusUoXT9dZcio1snHpqJ2Lp3qtUoJEH01RSsQOzQSp2VZ4+s6aNyvevJURRbOuPQ2I
yhwa7SS/V1J0wueeDNVdhjdRiqdeqHsR8nM9j322ZUZej+9llfhbE/7fui0E3IQw2Ossp6BcxyZl
P5QN5DQ+GGuRAec+9plnPHYAVmUcNAwYX2j2O9nV2eFEU/puAUkEwIRWTh7vI6tGxAZJ0KdmbjqN
Ajwy2ZdIkBoLPxmK20BU1n2cpcU+sJq9PrQVHwGNYvLZJEEf3U6aqM5QPiFSRcjiyNFg6kA34LG4
U1g4rMbID4/AVKrbekhyIHhx+6hPKnR1R3hfscFDadX0fghRvlLTrl77GgdddT6phFKxFL6I1okf
omuhVzEbJXmIhicC8rJRqMNjVkQfopy3KaJqwHk5KI3V7L1CFcrd+mYTq5vCz5DYU9KtrO1kHRVH
C5zTRhZ+wMmjnxgDtAeV88oiAmbv5CZQxJ3pTELzmM0bed/LrJu4UYaVOTkRbgqTfcLAzT1oKF/I
Hm6r9kkeOUhdumqOh0ASUpVwhnWsjh6OhvM91wnHbtvo4bu871qZ5/4ckP2ZPTiNhb7/dH8OLeOx
b5HSQvmz4BmVejeImfcPAN7zlV/p4TOC+PinxWnwbiKEY0Oy+oak5W3npJ4PUPkByalu2cZ0RNN5
8KponFIgI43Egmp3GI7LGB6n3jHPtLdwMihmywGEvvVjUQJExWb24I0TjZNqKFfRdbA9aME20K9q
UW9Luzhd5s2hy6js8/NQL6fIeXzFTvJSQ53ch1WCXE8QYWQUqd1ZNoifuMC+HkVOBcqLymTVI6MJ
iYYJAJTzu0LrnmWvhWx+Lqvoq5UE6lIzSAEWDn7JsnHLqF45wFBurrFWxMp977lrP60FgiT/mWvH
9ryH637wSsq9rpbswLiXp8txsOBEzEE5Wc26aFdF2THGsn0HECRB6tbdNlZK7YsU66lto68yHIVm
DIO/waxrntXxRV9E3MzuReY5T26jrGS8cewcS7owXumak7zFQ6AtxxhhS0fz2faJXPvIFZwO84Ib
QTaM7gm6J5Ayza2+eHBVofwH/gPYJ2ALqLLwfrt+bY7oLAwecp6yiXVhoHv1qz8o6Ir7fQn/dI6l
chhHhBaxA73ZawjY7Fr8pW/KSMlOtqug7wMB/HuD1ePQDN+o8Q5L0wvb+xxtCCqrLc8wlP5e0Ht9
kDNDXX2Jetd5trRxXCuJl9y6gfrpWr5joiUqipONMvK+R0YJItJ8iJ+AUS7k4YACYVG0/k7FWnQv
um+tzSdTu7P+my/K5zJFrUskfbjtKPM8Y1COvC5PkDXL1uo5H2fdhqDWbuSoCzFsM3mWik0Po7aD
QBOesPjdzN065ZZmajjfyG7QqdkBC2G2HfNoxgdmJ6Z49FHxJFGF/bDrgs7yeiR9oJgdqAzYH2gK
46muOdl5qlFpsDzN47fRQRiF67LFoVZvYVDH9rEc4e30bq4/IQiMo6ZdjF/qRt2jua98xLq5I8Pn
P4k6cE6TMd6Q8EOII1fid5Dx6Z2uRMETXNHuxoKEt8wzM9tRgh33ucUTZkwPstGo912OZLfV7PSA
2M/PURlTgDDfAPUmFdT44xqY/Y0KvHMvG/LAzd4MIgo/jSMo76QORn2V2W4Nts/3ssndNNx1WfPl
GpJHk1JpazPMtS3+Nc0qNI3xI9Xde4A48VNjh+Vexv05HqnKvRKPSL9Wxr4HsrNCuNmDRYlUOulV
jDHmIxWJ2SPKDT9Hx7krY3LUTYDC9BC2UMWFtq2PqnU0xFDfVRSAltBFyq8dssRTIdL30W9hletp
h15BqZ8Lw/+iT6yAgYtuYZNXR+wP4BbMR3hZ2Cs22WJJ5ojPSXEIyhFcYihu+UgSyO51QJ481hbc
Z3vMNnJAxi5XsHQYzyzRNiYKDFjPLUHohvfg66hZl6gdyu5Y+/2l65G4hghcHPpq8G7zqRr3TdGj
3IMm5GkqUEEHNs9bZ7u8EO3QnurGjlaxFloUSCPjOXOskgwd5lDVn12lEv3aG0lypV88B5OKRZka
T6qeh++dgRVpmoEoNptErIeyMfd5ouIS0Y7hJnHU4gG4hoGcLXQcMwzyDb/c5L5zzZcszNSdMfdk
CCvJ5D6x22gp2qhaZxalcP4sDKdBXN442vyHrco7pxBoD/UdRjDCxms8A9sbpAlwMoFMRNjZh0JN
MI5Jyw4VhERZDG043IW6mM6w4u5c9Mvf9SxP10OIibw8HfzOQumy6KFUcAicC/eSvSuL9bJBXgtq
8C9aby4r/Nc5ZuIFq8wqb9CkMM+6Ga27pGteE36f+xS4FbbwQfMaGX2x7rE5vozyUWqLuuxt+HyM
qlm9zIzUeUJlwjtlJbi+aFTvchUhYwrp3okiZXSXC6q5c0+GZJNl7+MgjHsToOBpUtxiFyfuSYWw
vyqR4N15WKC/6NiuLRpE1veym+jDl2bsraPsZZ4OtbGMHmUPIUjfHtqzmooQVla5MgohDvXY46hR
OAVCFfOh7MsGNSEPieo6QVT9PxPlwKdua2Na7NVYyv857W9z/3bNpqQiqPYoG6ig7ZCh8uHZVhDe
QxIr8U3CunkZmlF6o8av2CqJ703Hz8o0Qn9BMu2+DKEq1i66QJNh+I/9/G3tenVENLUgD5332lob
1RgPDLK+g5alMDkoTkMaGj98K7qvfKV4kvEwCH/GMy25t1giPerdlyYNg1M5kHaDoV59bazyaEeD
/2J5NYv1jD1YPUJRrsg/yAkKqurc/c3hHjEP7SAm1JfM0K+/ZijWDGDTPhACNW9Q+oO7HCQ9Wp5R
dLm2E0XffYSszoNfGzuzhTVS8x1/n/JuKa9toBO9HJoJp07FtI+FAag6m99VD+ckQAB4QaEP5aoI
LLhEgctG4r8lVFweXQc+zfvUlZPLEIKwIwZ/db2UPPp0vetr6CzoQeZNBVpYKn4e+Ths63Js3p0K
eaI2/qiFAQQ24WOKNCf+IMmz7Dx7JBdqTCAayhL5LaaleXNAlrp/wksvxLBAwR2tGav90NvVPlTj
en/tdnMsdpSWBc58KPuXib9OucYKBPUWeVx5yNX99+QAFsq2stCq1HCpDmODb4Huak9I4XwLCghR
5tyrRihacW9NW4TpjYUS8sgKFnmT2kuZUOLPY60sBIJ/Szkh+7YvQwEdeM4gOS6Zt6gOXy8ZpOsJ
lz6k1309T1anAscatIFvlU5dUu9CJivEAuJyNMcUMyr/MQ08S8LRPRjCZlsyN7J7bXIf4Huj/bhG
Ps2azMFaTk3SA3Nr0fjP68d4xsaNYImA8zV4t89drVFMFpdIZLl9lj0JLLnBXSnvER4NC8zpUQ/N
E+1OQW0KRyc3e0/QeQmQYvk+DvaLIfz+JfOFdWNW0OSi1FbvkElXVzWmxEgFp9gIoie6Q6cImW0D
AUthQuaTzQBfcNGza9kILfFPMtYoPdIv7Vp2xsjEFcJGlmZN0u62Rn40a5AIM3w1/qHhyxC4yT9d
GPwIVYdajxKzK0Co7i6gNHVbTX2KAkVfPAJNDJCGMfOvCWJZ8iTWSKemgNSl1ma0cjNrvG8FQHJj
QHYsrNYB8qmrQJmar2W3lojnEFVl/OlwdBYzqk+DljPmU/6Ayly/0M1M/9pM+A7hxfOsNZCyLdVk
/Rpr1bPpeI91JoqPwbaeJzXNH+24yx5V22GhUBrJRnblgFLV2xROxlGGFDullk1ZrDFe2S2DAtCK
71pc47LnQXaxa8x4XIQ01AkDDbaGeI3D5vtm5ntnisvvaVdSsnW1+AEH93LHW683LuXjp6CJQui1
TKlHsTEarX+HyiEwC7S9AwKWeJjxuFu13dS8W126la9LQpwvKmvUx8KqxE2def1xENPPJgfstE99
JEt+xV1niEgmRSD8S7ZNaDT8Z/J1zthTLshHzVu0sfUQIuqwQWM1eGGpp64w2UvRJZu7To3xdMB/
QnYnDdPSyEumW9m1YqQRu1p19yTTgherodpfagh0ytGw8d5ISNtHbqXhC9vgY4He5OlyIcrOfurH
j/JEDdq716Nf347D8vLcTgGd9YiHLuRDW8baPqKGWIm7a0jGAcn1JdnkRvg7NnxR8wjDM9gA1/yi
NR3w0XJMIN8n0zeAw9O2Vev0Pi/5oZS5Ub6g1BJh6Va730dKrvqYA+EojfrYkkn+CDMrW6pYPjx6
3rwRVIDaCq/P9jhLRJtCy5oHsurqUgVwukomB+8BbwTZUoK1LlwrepSN22KsAy7oeOlh3XissM0R
UxJfJjiKNW3QiWuXdjPbs+q3ihUPd7LxoJCPC3k4um8d4nJT7XsvuWcH+x7rJBixk/sS6qO71jM7
WOtz1+09e8nXy93JUXREvheZ6RzlqRYakq1KuozER/FoJNZlEnKXaIoaMQJm8yVwEEy2WZqh+AG/
2jNZmky9WR36fHS19VjY5c3A3Ql5u9rR2BWG9UGNclhpcih3c20h5xvyI0jHQlv5SYrGOguhe611
utvISB9kL7f85v7PuKr3o8Xaj7mo1vdyrhHo9WUamNXfriHjMjSEY38gVfWMTM+N3AxRxULxrqWi
bOtp+DpMGGTKzZM66Df481Y7bMDC1z/ny3hX5flT5bPlmI2ZWlRN9/JIT4GX6zhkYY5BsnwYFaxC
yokb069Fp2VS3Jj6ci9Dju24J/mVrbzbhgrfrixKpaK80r9e14h/W/LpjfWjqLWAddEf68nr3DZG
RrOzsIGvxRtJk/6dDHiHXjq6jvbcDVBwIz/KQiiJ9Du/ptQj4wZqlEu1mni2qSJ76ljnV+w3fN14
VoI0hORmwi5JVeU91pWPyuusB8M14mPoomsh48JhIcfWvCCh5eJpnncCK1/XQ+/FJtH9i7dRa3ay
TND22EqgK+sN5eTpJd9yiB6S+1FEarWeepQQZCy1Lf0GDzNUTctuVhjTT9VQWecowWnJcqtyw5/X
OpM0V/elwNLdLxTzLKf8OmEA3MhWGWVsuNDp06DXN5Nuhw/63Isr7ol5Gj3h0jst6tq+xciUtF3W
DN4xtVMPmlF6Giz0Zaj632ZJ0uw7XyCDXjR34wxOk40+b7xiy37z+q7eyVA0b9CCuREktZbgH2MK
NJTw0KNHXxJfWBerq1a7NTyM+mRX5gpNzAnDQmChM2cTq0nnhuo4JRwwb8MiyDvLBoDjqzGIElqB
652nWEM42DTsm2ruth4rFrNQPsy4wQXIL4o1q6vxJOfmoesu8VBULlczwjnvbCN9S5lVOSP8pZ+n
b2gjYz+ojIhVCDPsboemRxmscsXOjF4y0Cr/qB5cFddq3vwAJ0E7E99FiCmQHqVsr8O4oYhhiqOq
RfUDJsjVgxa0l1CWdezH5xnN0NhHOSinzSHHw39gNghjjwegDDqwA9U8Ryg31MKzWiELwIIGmRh9
hj3I4cvMUpsmDFwM9GavZ8pJlu9/j3tkQwbSao9VbTykpjm+TSpbfdJH3Vp24Qt8JNy8TnU4XWbh
lniynQbYOVZnsmFNw5dxQvHtGsv8LNhRIS2hMTamslCTadGpIF2HiGVpj4kEAhHBXnZlgw8ocqMA
QBdljrXVZaKWKHiPyPEYRIpYykN5ZoOto1psm1qUSPV19aNfBvBvTbv77tc8YU29+6oirL9k+1zf
N17b3/oajyevFwDtOuWD0kT3XY90NunaQ5ogbJT6aetv2s6ihB5S7XeyKoC5arKgwh7gZPQqPhtV
ZjxDyT/gz6WerEw1ngd68dyTYz2MGzmGVMdlrKhi7TL23+fJMW1GBP86z3QR/O0C/CRrrDCWxpBR
URu9dgfmut/wGCjOuYGTRT6De4TiL0xyghFqjm0aml97UEKYAqQ69g74I/UxEqIaCPaPkrVZMRlf
MejmI1fJZXRdGB8BXc5yIQxoGBwLja1Q1fOjqerAuA2thi9oafMonK+dRP394CvhS6CRNtF7Ld9q
TazgMWbHLHpN6zYqU+u2TrqfR4PItx5mTVu0fWcYzDzlOiqPrqcFZqHCJ/OiI8v1xVAa4s239XFT
4MC3GdzEextSDbVnM/3CY6q50bUUQT5uz0/8mU6CGx9+PeiklNHUPXlVAFQrRmXdHZXuCee2gcx5
nS3laKfW8BHJMhiZ7SERiERk3xrxI3I93RM8eRLBqjntr1eqbdDb+Xxh5iONbFT7yovbQ+qiqYcK
Ma4LslvbfPhz0zkCaR55eJk4B2MletH4Jm1k/NpgVfgA9gyqfVG9cNuv/6nmnAPMhu8sebtFhwz2
UzErW1tBWxzqIVT3ZhhFy0IZjnFlD4iDpuPDkGAcYAEUkCHZWEjLIIjW3sseGezh4TIqTwgqVgid
2iyv18Dat7lLylnfkMvKJjSdce8G1YvspdxKjlqBE6KkAgPXtvfdTBdu5ubaTRX/NVSbcONLRrEc
AOWuNmtzZg/Lvmxq7PdAVM96JVzg81V/60cIiJW66UBIt9KtBqR2pdmK+mLqwDBEo2FR7TfaCw7Q
SLK7g3VbTlqyG+fkuq+DVAoyNFsSBG+fA9udNkmLrmYgsuQ5ykp9h+tCvRx7NXnurDg4YBeMQp/s
BrCUdDd/lr0S84W1W1bNcnLjcl9FRrmXR9dGCR1KJLIfUcvC1HaeWWM5vo+aBrftotVuhNI+ea6F
d4rf9M9hHdW3uMPHS9mNhJXsMz2zFqWaDs95MAIUMk34oPNke8BgqBsStOCE1T/3oWPdISnxLZt7
GemOI+6xL3KsKRO088PiJE+Mfc84oUm3l2OJGaJubitrOZYXhf3o+SgNzFdxM554TTZbefXPAzZK
z8i34l8djoj0bTM7NZ/kvGxsFxFqvmf52nY/e99hxRC0uExgJps9e/24wyzNPoGdz5+ngPxk7tZH
OeZEgGL1CBkqOcjPPF2mbhXdylHFDnO8lM18K7t5R54gGwZ1bWKKJ6rC2WdeEd4VfzbjuOrUXjvI
MGbCBRlqc/o5LdIgTSHhsGr9UEeHdT5VjRTmTM00bRO9evjZlSfKcXl21CKX5AUIN5KRcW8L0au3
LAfIOfHIBtJjJcbBaJ1hqVBMXzWegbKgDPZl5YHClJPQfFmZ6kRysdexUv3VYFCL/FtkJrcg/HAL
pycHZTweyX/DA3erTY8V5UIGMZUCInqdRP48vKmrdl7QKP90Beg2Sr7gVnstXuWDSA6yCXxg0t2F
rSRbZ/b1lUNpmT2Goz3rcfyaIw8VJUoPNn/s3B6H+9hG1FIP/eK2NKP6JSx5ug+u5ZOPoVvp5eMU
q9FJ9sw2WU1GN55ZvbDVyLHEKpFqqMp85ekUyMNJMeY7lvmARvO4HsPUX+HfEkTog4PUMro8X8cm
37llalNp91XqZpe+VmFCmTrTITV180Fexyl4gGfGaZqvl0dhc8QMBAA2LyFD0I+m2zFu/pGhS3xK
0CwJcPaTb0LGUFWH1tuh7hx0Wo5sc4+e4ryLiie/vvfxbYmRXrtDSLi+r+ZGxhUkKAJNNe7kVLPs
ewSo7Z+x6zR51q+5Mp46Y3nQdL732NmPHx42JYqWq29DaON72qIOHMHtk3E8aaY3p5qaraXiZ+qa
uJ+yUAkOZhn1y6YszU2bdt0jEsj9Y4AOrdOYDzLCCkXfkudUEJp00ReLMjzhFMeqd4pvd48mIL6T
xv7/MgogCCpOiGehPDlI4x8dwFoUUcf4pR3K3ZCl+gOquTHEQgGNgxuFlobOc/BFBuvQac9YbFN8
4YRsIF2Ri2YvxwTrfSz2xlc55pOuvdP1GvHPJtQfnc568afqu+7l3VOEC9S5EGvMIVHw5XLPiusp
d+Y8JpIa65s4b7ZyaucY0waxEvRf59EUefrDr+voYy2vEyFzdupDqMO1pt8b886onHdLRWactag3
7mTPVxtyQQiRYfXMZun/ODuvJcd1JV0/ESPoQHMrb0ul8tU3jLb03vPp5yPUq7VOzz4TE3PDIBIA
JVVJJJD5Gzf0qod5vOzM5/FqLf4eT/62X8tOz5iqB3s08ScKAC0leDpMzuAcrELEi6IvzCceUuYT
cgUYu45uvm+qQDxlmu5fxiLcyU45LJidhGqfdPx9luifc6hbVzlHLwys3xEFXN4nDVr15Hh6dJZz
PCV3Ds78wub8mn+9sGz6UXRCxPjVsjrtUokKtbo48N6QS/nlVsb0MzBecsXAq6aAeaw5+vTZhH4L
WsUAfMRjZlNWYjrGuUdiTWETlIOQvIYoGC972xFvXpHu/KxD/mFIn+v5UPk9DAzELrdZnqTPrsNC
Qg/FSbbkCLus7YXrougoZ7kd4mvV6H7DNQhjr97O2TLHZQtSy+73sIGLhY6g6EPnDPo+tbsLiAgk
RSt5DD3XP2vqpxxxC0FEjHGSZEZJlQlknHrU5pCMWxObkyxCQ1rN2+6SG7g8RElcfuKgUq1KVRsP
NUa173314qR68Tn1qrfru6ZdizAuyUEmUETiqeYWqqjL0i2Kp3w+mF6jLoIpKPYyZmgaCV+2Qa3j
P0GHy588krCgO/JuIfvkqAKhB2gK5Vn0nXEx5oPI8FbpRRNtZKzWYuOCmIRxsQP7ysZFP9xDpYH7
ZKhd9Zp1wUJOL4CK84NPl/yiIZj8mKxYnORBcRDYXcjTvCs5zU1/XKXsjpb3QfXQ/h5OvVewAv2n
OXveDlRmUXeMvnPf+Dkg1kPec5pOmheE/ILz7hnCLx4JqFl+zSx7q+mG8kt07kbx1fLbaFnGAm8y
8TwGsbueFBs3caPWDhgjILWdN/4VyYVDJHxwWmJlDLX9GSRYumiRGLba3FQo3qGSJN4dw7P3Uach
ERxTZM8RcF8kk2fsRKIY766fvUK4E4/6kEUvE9VVGa7jIDoqAcq3sukb+FukXWr+j5OMIs6wUMI7
ZyA5jeHONysQ+qpoGoNfw+hf8Dxa0CjwR1M/TZz6HjtTiKey9E4yXGG4uBurCqPTMCk/MpQZF8XQ
WxSYh/CNSsxt9qDrpBHttH1MHOxMKcZ8kopBwQOc0CYpRh9PzuDR68HkKdxGL6Tx8RaY46jdINI4
6HNy0w8+y2mDoF3xEWSaxUJjinCnHTy2Lqa2Bm95Uj0SKB07xnOn6diDz9XtqicFNHZGdAY5G7/w
eDnKMncVBt0GBUGxlcVx2F7LnirPWwPq/TgWFSLGczHdgAsDC6zKLiZKHti6iw952TKP0zUSSECZ
5ldp107rlZ91gh6VbTXRWlbWu8n7pLLdk/usa+6oqEvKi06FggAk6IB9PX4TnRqNC80Yn6M4MHY4
aA75NtAdHOFgAJ0mQR0hbht3q+IqCq2h6ZqHpoPCMET9keSqpvHNk7E8PDdYUWFLw9LBxM6O9XC8
V6xROVZFjo5Wn7ovIc52F+EmJ9mKDXN6mTVP5i6nw1gVP8RmTlvArYGwdsor6vRhC5vP00wskRIs
hpDq/F50QvnheVgKRxR+Fg0LHaevxu/ojGDcEPbiDe2YcAYYlUBzh27dh0P1PCk4eFTQ9m7NDp7u
o6sGq1HTGtLbBmjNDMLCOjA876HQHVBrQKu4kT+FQ0+jxzY+NhA5kH1KUAznwCyhLNIZ1DEjYu1H
7I7xKYZSsOF1KWrFRrMsOvYXU5mal6LFD1CCwPSh/JWpY4p+AEU1mwXuSsa1bthkbPrftaoudoYp
wLwNhvVZ5aRc6/orv+JhnaB7v+bW+kvHuAgme5kg4YLe0ao2Ru7AccgiaLAP8gB9A0CmPGUgp/lo
2Qc8Av57/7+G3ucbTdv9ni+Dcvqtu2rIF5SZfnVQK10MRdx9tVVgIbaaz8IETom2BEDt4BK6SvBV
RzN/UaJm/4Jgo8nGM1Yv+NZqqGWiGZ+xGDwqUR0sDGyDDlUqvCuSU902cANWzEPjXWUMMXtUeqfS
2HSZSmI46fgeJujvZMVUblsgzx9jZX11UFh6RGjeec5SYxtwg2C3OruHTBZIZO571rodSBKBYmhP
nl73znlECnLnBv1KjBQgM7AfTw0giR0GgfkO3I3yhIUmgpKsm16NGAcizcDzy4CV+T4VA566lojP
Ym4qmF/hHhC+IvkDxLSzn2S4yQZ3HxdpsPJYK7zzjPcA5RvdTvY6rvgFSdV9kJ0yJJtN3h9N+O+v
w9BPu1nBdm32rfZJRuzcdp541jPNP9tB/RIPjr3I1S6aQQ68uK5FmzYf3LU+N8HYVbvKy2KomTQh
JigHxaMSjsBV+GqEhf+gBeT1FfGZ5cG7KkbxUteZvgErlq9r/gAvhjcjae0KH5JaES8OxYkHs4he
k752F3rTDxulMk6tsNvnbkZ4ZgjUAPCN4uM4Y0BRk/L3U4JzoOyV46IGDwoWgFfZ6kcddYQUyKVT
uldAwsUBnJ31GAAF4HtbD9+1tmR7kaVfPDMK1qztWd7ojvrQFsg7yxEFqnL4rn1vyFota4d6PN62
2smubH2FUbv/tcZ/o1emB6sMT15VZx92pAWgxeL2IAwv/ehNB69AdlytbXUPfRFQQ+AP8dElwluz
EtW3RjVWi8AnP4Lol7+YNCAuOWadCfLEX0Ocl5e2aSgPEcjOw1DwmOH3L150H9NR5OiLK64r0S41
FOXs9trvA4ZZTwJNjv093oC8TMyh2Y9Zj8Q237FPZcovLRjnX14arypLTb5nIRk9qwLsBAcx3nQt
+0R1UPujNfHCqp5aT02B+K6OcMs3u9A3kS7GX4bvHUayMV9qHRlqdfTdkxDo4Cs4UC1UyMZvoYF2
L9I8uDnOzSqwLOzHsQ6QTX12zQpST2zAp1VvFG7zla3hP4TDd/Vm6SSMLLMkuTP3shiCxdvwn1BI
TrxNYF7zsoiv8kpFCwchr/sXYDrjy2jkM+KtetMNPdt5RW5d2mH4CqCr/eU5e1Nt6p8Ug9PFEGvF
qwWdZl2PJiZMGsl9EaTZdiTPe1WBSy4Rp8+/xg461a7V/EpLse9JtHyJAr9aZmE1XWM9hOKspM0h
K4LxbKq4IE5eq78ac6nWgbr508Ixfp7NLQBX0Vh9a5LEBkzg5nzjYIhjkeJtB3QMHoULAliP7I2o
+TsC4+8OSvYCaFQL96XdVEfUanCxnUY7okQyu3nJg+y6Ny09BFTloFv2rzlZAqtCK10MvVo1f8D3
Mn+owZystKpHR5n09AP5JSBsslurMUK894Ts6VixM0b2wmp5ddlJNMM+d3gW3w4i91kd9c2m7BPw
qnNHX3oAM7Ja/0Qwy9u3sllFkYMKIYDVeYgqMJsh99hRfNHCIxVxfCHk6ehr8+mU1dvc6x5uPWXn
hccOd5lgI0//NT5wLiNZlKtrYlRLduR9Uo3sTE0RSNncDDHl2hkGNwfN6/x3tdUNVKP9aSd7eVKX
iylv+7PspaiOcpeiPouxLJ/nSw6NprzJS4YtfpGyKS/ZU/1ayabP8uZ2SdlEK2ErzNLe8RtUD9J+
xoeOhUiZinb5n5g8621vOoi+GtJbjwz+NeY/xViw7Gq3OVPhMaHWvzZFCj3a6JzH1redRwdCV2Ll
0+keN4dBR80czIQcwf7WeUxmVGJDJpYK1T9T9Yo/jY5E/EKOGw6mQVGW+3O87YPWOVfzmYbw9e1M
xtgq/e79a9x/6gWU4Nyuhx3K2UPNNY51+9AM8AlRIoIh67imid3cfGqaE6sOeXobIMdSzNMXgYPf
gmzKQyXny9N/TaJcYh8KTTSrMbBTiAJKtQs7gLppUvmPU+r7cDY0lpUVMJ0ycyk+/ukYY9t/gEy+
lMPucTdGY5b7BXB7UtXOQnY3pn4GVdwf7+PwJw8PdTh+DELY+8ZzVTw31OGgx+5w6ISJxLZsSxuc
UM09c33vN4uMfjlUBm/jb23d9HVwgYBAUX1aROolc7Lpq59b1Rp/7eYQhGH/rGvNh4x72BaJcRxq
HaI6y7xE9/1rWmv4XyMiv+bL3qyq2lJYdgQ4alN6xDbQHxCdncrGOoKyvI2WU1hcupe4eJENan/M
6oWycSlxnWVMHgwMSxZAeLmrqAFOhk49J09nluyirzNMeNAH4ZeVKYeux2gI4ZtXz0iba6Hq5TUp
4jezKMYPFARQJ9yUQaG+Nnhh2t1r7XUG53rcda8S6/z73DIQnkz96QJN21lGVq5verwR2F8hmwRk
6WdltPZJD5PhJaxmZ0+V3VMYecMLS11/h5M1XIy5V6nz5FxP7jfZmZSGxhLpCC4hwfh9qjaa4V+M
sQPRaJbuWR7SliL3Qngjku6Ki+ulbN/75ZldtjsM0/RD28Zqu22U0FsVGdlVNyq6o+jIVSw8T2mP
sm3PQXn2V8xJdMSvyEyyEDMQ1NBN8D6OEZ4wEMPe0el/H4SNXPAQTeXmrw4IA6g+lY66uHeQ3/Mv
qZlFZ74vy7/i8ppekD+PKFfsZWuw9P5UeSSSZ26QZPtMGk5Qwszhav1D+5FxwSYNKtqdSMSYvcG4
e+h25sAeul9OxuQ1/4yVob+urgc+hqolLvDDFCuwmZGuEF67c+M0wvotbEfKdH0+23XG8ylteZah
lLowkvCkBwV3H9szHhC0Mh9MffJR1BlXWqcUD9boIUSshZm2ipQoA3Q/95qsH/rOXdQTXxSwyny6
agzfR6xOd5nZpWvZzDyRr5AyKffghqN3Q4t+6jO0SXbG4olfif3KGO+RAuNjqSnhO1hG92B1yBnK
Qf6Aa0XhlDroBq7PzzpZgoesj3LwEHjninL01bEs6ml8J2S4TkWFLK0V3t6UbrKXU77coA9F9lnG
VvwoIQ2sUeorERg8yeMd6QAG/a9Irn1GcRc/Ahaub3iJ//91bq9Ti4/7NfoBshh05UOLo1W+INEc
HCvVw8gdAD3QsPkAs7FZZVPCfSIrWuiKShudUgirJ3mGiTnBaZpdFfUmYOc2t2V/WOvN7/G3UXJC
nFJRR/gLaO5fF5Hdt0mRHcQnLNPYER1jt623Xeu+kOBVjoE5iOosT8M+82FYERz5QXLTgNQA2s/u
wNhBdOR7EGJrKSJPOYZkRxZ59jC4PxrHi1ZzGhEXh7noKMuP/7koKbsABPwuTypGsGn6KjuY7oBc
CATVUp/RpBX785so2a39p7tWe6V/+NMcQnSqF1KpTEMNqF4lMbbzpYiPWFY0/vaua9YY4+0FIkGV
5eFP83YF9HwGxGPSHlLn1F+1T0sI4yoPlaW35wgn+RGjSkxeg1rZh3aV8r9rjWtWJ+Y1Ln0YI4qn
Lu8xl3sw5sI2hdf5UrIjt7FlHHUqjPeYqlofLnbmR3klGee+iuduAlppnmloefSo2NXt9WSocsyM
8mz7JOdENoTbrtH3IXssyPvFcDIa7ledh6dY2eNKnCHYgbeG3kcc1UpQ7JoHjLgBKkU0HPx5YiEH
yVPPp/CoRU69vi/EqnkVd2/+LxZs//OQOq6xFwb+shk6Nj4T+Aa/9auLB5wZteH5YPWP/iiGQ8tj
XgBMI1bm9hsZWHMvW3Zczba6Wnmx3fLHIEpQ1X9CcsSoYxXYoui7GwVSxHFXKGdUVsPZ0Hp8Tybo
lBjNNk9Dn1rrpFC8s9t02s7U6uSALxuJN2fyt0beVI+KKfpVlIbp6zRhAGh2wnlL2qE7Kq0KPooC
iQNMk4OfDumpKI9aFrp4K/t0IhX8u1OO0PUxOpl6sFDZGKuJiB7zubAYhTh0Ohbu3HNLHhTuAofE
aH50ox9HwFDDflu4JZbGlmetaisxD7UP2dwPA2WLxbHz0ikVm9ZMPzZ4EdmUtB/d8MEWIkYMkUPM
0/jaIN2bOnZzka1b3HcP7AWVEwWIaeba1V88KxQHOUJNkuTqIL6MI1EvdqbtY9wOQQNIQl1hivTn
6mqKEGifUTi/x/IaP+3JSNKVvIy8YFu2I2Z9Gp9onivmw5DFzb4IgnxxewsYrbE2sLQXbIYw97JQ
pjgHTbe9v+fWMrLHnPTpn9eXff0wIiCTApqf37YMocN++3T30J9PeH8HkelQEol8a3d7yYztBkAV
lg/314xs3KyMjArc/VW7UPHWUOF+f0J5wSrMfn/C218rDBykfudPd7u2LnzWO3w6OVpeX37CGhmx
+5vs50+YNrf/3+3P0heQwOPh96eTs1VbHBTfARU1/yHk7DzNvkR6JQ73y9uUHRdDpUS4GfnlM7ij
me+qFufCap0nSmXPtW67n5BvUJzLPACWmle+51q2LCwlfch111y7E1YCWNteuDGJ50wnIxdMHneZ
MKbqmZgY12vGV9kpDyVgDEO44208bmhi1ZAA3ch6aB8FLVaG8Y/7eFcjf8gznwWno65aQ2GtV84y
7ekwrOrI0Z4CP9efEIg6OUOjnKO5NZZ2fwgi/rSyUw6zPCTrWW0HqEIyxMPD/qI5SB7P15AHvSmG
ddrZxb9iXlxvXMuuL7dXGaOanL+nL+TLyFmNiXXjZBXpQTYHbawfADffWnLWgN3aqrRKxDn/vN9A
70EfaM6jDEUIPuxQkMiX9/eLZvivHEeloxyRNFFwtvX69k5lCG138qBDHFDt4wPJmPEZ+117+5MA
9i+2apQC4ze+DO7Z8LLsoVY0CKyjH17kmcDwewGaqNjJpi0SlNxLHQRCaOJ0+tdoN1aHfQXb8X4B
OUIeeAUvG3+/wj1sxUUEGf+fV7h3JCXWxfJVckgo6MezHlI7NJLVIF0DZSa1zaJjowvFgFLvx3uW
84hZT+5wpOrsUG6vSsyLsUoYcDi74k9frqjnWC9K4PjLzsiGD1H3wUIbjPFblDfnyum8Xy5uzFqG
nx8cSarKLM3w1nR01idq8N02tZ+N7SsfQeo66GW12asOrwdLXNe8Ql1ia2oY6gNvV9taQWcfbaVz
9m7mVPtB4Ztr5La0YWHlpXnf+XGNJ6BaRbuo5VFjyd8YXbqXPYPhzoyjjFryQu/S8XSL4gK1GHgQ
rEFUZPwLGv7LmM3XDfl+RUs2rcbyZFlmczlbu2ZxbT6V6A9tw7rYhxhGkjN1/YvqggcBX6wgx9gl
y1hPm/NUW+pTpNavMu74sbGKpqo5cHfX4FQaq6ywlU/wrNrGxYeMQjLTh/6c6y0StL0Z7PlpaGsZ
Zod47MtBfYmuYgocaGBW0iCF6sKz3LBMJAlJxTc59oOZHOu6aOAoz6eTjmqFI7RDr/k5+cVgFTpd
gaFdlr66FuWzdsAcwcE9/LVQsFWwcvAdstm1UK6iXP0lW5PSOCiku2c5E80X8YRK+hKlYJ7F88HJ
diBLmhfZ6ONii3J7c5Vz02h6Nf1QfZAtPgm6vF4QneTQpAcE2JKq35M+UF5S9p97vqQFRudFHZKr
52AMWrhUsT1c42X5Ozal8LlQuK4BCgvSfnJgNOj/dM8DrXYqDh62Wv+KF2JONHRqzI10eotxWwFW
XSbvnTLqyP/z5JdNoyDnaUSmf/ABab2zBnhTRRk9Qlef3lqxkoO0zE0uRtHxPeYKjh7BZ7I0VgLz
lMQRlPMVD5TA3Dtq3ByxOHTOsnei/g0OyX8dQVddhdE8VFh0vpuaEx6nJqxIxzMp76Z8Y4Gx2MhJ
olAVUL4hmwccVo6o93sbP4aGKQ+R9OVxQ3x4ktmyRwYNsIRkR5GCmfyqeo5Ia41xq1/b2KjQHg7j
NWa/4UZ29qPjXSg73loyVLW9v8zwK90jrFc9u5S0j1ojqHgNBQVIZEFfldaP2CZwJRLB7j6CXACC
+Zcm6m8oOwD7CWeauGkXj7FZiq3lTTNnbkAEUOGR7bZW/dzoprtA2rv4WtvQp7S5jK61mEUBXfpu
eWWxiNNcfcVCnVKLqesksk1316MQtXeVacaTFOEaZdX8tU7YmvGl7L+TX1vdrlRm8b7oO/NrbMJU
sCCGP7cNWa8mCdOzoeZU7uLB34Wq7V0C28hXjhan76Gl/EhtW/xMhuvtOpheXRWsVj5b0TeArzrl
6qL6sPKmCZemIXmdsLV6CfGDeOlqnKBiO3uSoag2pwWsDZDVc2fZpuUmJ52+lr3cG+NTZ/ZAROfe
AnXhl+Z4vxb1uDmrFTcn2W+7GGa3Nl8y5TNz2+5l7NJViZzxeyscDfhFiMf43DQKYW+soC0Rsm7q
d3ZiWDnFA/QJ2Zt6Gwof3bPmpdUT1KpbeLDS4JjlMzp6HpXk/OagjwzbUW3FsVeaZGEKpT/P+hQr
tQ76pWlNw1nG5AEownBO5sMUNdYKSyeGzDN6hGxHsKv0yLauIlh675Yx2YscHOipzDqqdRItsbv0
HmrLt89NbmNsjWvrV1JwB7zfp7diwsAh9+pyCycz/PDNCW+JxPmqQGheZfpknsJOix6xkdag9er2
1ywa3zXMJ3wqG4vAy3pwjX34eD/YjYcX4TAcITOWziJ23Hg/KVawkEOS0P492A/RIDbV7BxbUJsW
Fqm6RSmamt+/bLO72JQpf55QZONjjaDZYeqB8kh2QDcm36sJZSXJHGhoAekJUHOCVTC64XfVasMH
yQ6Y+3DPDh/+D/PkVUwx7B2tCi/qBFVAqSnEeyJ2nwLRu09ODXzEsa4yMqokfZDJaVayT8Ysp9kM
bjNdZCsRcbyre5TLAkzgsqXl1Y+I1g7naL5Y7unOZsJFKtSF9RTgsYLofcrGxGisJz2fnGtiA3Oh
T0ZqSyhrDz77KslrVBujOFobEEDOGqhsp6qwdI1wldVyjE/lmYxBs2qfx6FYgqEIv7j9LwOPyA+7
sLK9DcFtLcOeHx5duzUp9nK3wjoGKYO0D79Ek/odyn53DeI2fxiN0V7I8XVmIBWR2/2Da6jp1dPN
nzIu3MJjHVBayNbwO3Od8iTj3FsbtDPTdh+J1P+ITIrz89tReiXZJkiwbWWTdyf+vDuMLod1Pr8L
FGaOZWv/fncdS6klRqObGimVCGP7n6WtXcjI5h9TlIuVFQ/q2Wvc8ljmiD32fRi/Th0QBfI0+U/Y
4Mu4GcxLa+jpqjUND6lLHxOQ+ex+SFtl3FpdfHKt9t9xOdZUzTffxN6+68yjllj6hzeU6JBlcXAu
tRZ6vOrlaz317PdBTy5e6Gg/IiN/AhWXvhs+H6uvcgVz16k/o04Bc9QM6k+w8nuftfcPzSu+YM1l
vqqVkmH3S/LdCBv1ocfxfRbN9L7Eir+WQ1E+wtHJLeqXHPb3pjNb/6BCZb+gHoVxszbyIx7NDilu
vKL3mMvYeyNyd2wwYikW9D5lVbPopzH5IorwW5HW3jcyCQ85Ah0/S31aq9z2g4XbnRE9yaNFayF/
A2NkAfVjY+Zp9dMN1EfM1NpvRhf+nLpA7BTL7TcqziPPHuC9vHhGLiJ/7qqSDejoaRsZ6yazukAc
22V5n99GIFeIoWxiksbAYW7Mw6cgi9xLEQpQzPMZTPx61SZ5uG4c5ETWAQpj/AfcY6VTlObxyr5R
lPHTrbfx4CVFThOuMfmkm8I/1/lnyi3GX/U2RV4/0HJtHQ1hs0mcTllESqJcPKfXj8kIUC728+pr
F72BP7a/JVXrLZHe1s78w6yziezwspo72vF7Cg/5a2T10dqv2AdYIxCVQsXnGFKv/W0yCxgZbfBR
9HG3CZ1I3SuFUJ+cKMAyah4xdNaLAQfzNcxMrJIr4QDes6rXNtWe5QAkidIFon5Azuq62upKqPMn
oF4EFBN4Xf1hg8neKUlabCqMYOw2Dt7Qv9f3ien2a2dQxRdrbFehnY3vXjWYO0fHN0TGK/VbM4TJ
Z4ud27YFfrTV3ND6kqSp+GI4ZBSGRLW3Zdsnn2PyTfbFcJw3bKuNHZYt0/to1CsZ1wQb1ahOdXJe
Q/BGQnknX4L8jr0KlXBrWImyrESA1Rl7iaM8K+bmPSY7zKD6b0N608WRHjjE6q+5A0j7A6ruOFoi
8ScPVQROGR9x41+xLO3zC28i2lIpwIvoz+Bk7kCt30F1Wvz4K643UG4Dvzn/Fff8PDu3IP672BqX
NazlZd/375moq2s5MxcdNHyOf0Kw3usr5jS3EFW2iiQSrFiFbW1gjtqqwFHv6ufCWDfmgOBJ57qb
wjCLs8tObwcrdjiqDf9PyuLe3rfc4pjmQberUfk8Cw9FnSYuqGAouPjFaCE/BlGNJoBX+c+p1qEQ
G7EYjXT1ARhAfqksQ91YWuctskx4bKxvfwt13KGRwM7UsrKLjMkzL3HFAWbQg2wZbuQjZZQG5bmm
IBUmfXa5xaIqxUIwVZNVMI7qM2Rw/9BMFQBWzxxL9nrBEgB0f5W9ImnKlR1iDyqbRuz0p2LMv+VV
qj7XZtU+ILZ4SnwP1V49Cqnoingnm6ap9YusiLxbb9hPW9ONvSeqp/5Lo7crOcqZWL9UJut4FbYi
wC+0ZkYxUSfsvegUVGbzFprVMh4N5JhtMoWT2bVr2Wyb+Afc+PHRSbv4mrH3FE0CSNQ1jXVhlQ26
l0xKcavKqZjs1Bx/V9sS9VPlkAU2k/DczpoicSPCc8fDX/bJg99jQNzqQbW2LG1KAEK3j6aw1K0P
gmSfhV56kQfNLOOVWloY2hl5douFzZTCVvIDXEAt4IzzYBmTZzA4q53aUuC8xzwl8FaovWgLkIfF
tO6SgdrIrMGTum16iCA1bRPaj8xDzq5rW25Q7qurG96vMDnwwHB+RqX3S28H9S2tlAlYUh1cmrx2
duijh2gtWuZDr8HfLYyifNMifOUjCNQ/wfIKw3B/GVX0Er1klWryhBqt26FJbRTquvRaxjmWpv9v
vJs7/4qR28B/pF0kIvhVCr/WH1zwzFAy1GltAiw455OhgY2MfmJJNKLqMo5HeXY/2EJLt1rcwqLG
3s2dDwHrEFiP82lkVC+dToX4bvQm47oCT1/GboP/jJO998FDpZXrRDW9nQIbbYvZ6gjayArfdU1R
0A5UxT6q/fA9iNOvoeXWFx7c4bs5V8GT+s337IHUcPosp0xlrR8oGfZLOShhBwvyC7YHWVieKSOP
jamHWSQG23i1IlNbpfFYXxJNT3aaWqbgFwzrVEZJsgmqQXuyIYkte+gkn/1kP5Fkn4H8LL8oWi08
mOyhxzIkMI1qCd2xeTJrniBpqaknDa3aQ+Yo/m4q1elSBNm4GjEyfet7dsnFB/ec9GSKghJAVPcL
ElxqvALempz8mSbltlAhF7ItD0DyIhAO7YRHY/xPj7yGHC7H3ObItq6g2Np3n2Ntptdglr7Whj4/
DVl5kaFoDoFAEOeob7YyJA+9qbcXcgULOecel2f6rIl9izHiNvTP9ZEG294uqKbk6dK4vjhBlp/k
eHUKlY0nphogluFuBYmt41RG5aHJe5cUfBucndowNuDb4kecrJwVG5fxOR9FQ8HYKOdnboFVkeGv
nBbemRmb2hHFFkQM0lktRKuaeCODkZY55e3U8VFo9simjUd11IGgaeync7+tn7s+AQlueiSrUzXd
qm2PMOJQmPsxrcp9NmcmIxQZN5NbJY+FIlPZuv9iqnm6tNS6/MBHOEAnlNRihzApbM6MpfK49eZN
1AJg4brrS6TGvNze2s64EDPgoyuV8MAGHL+3uWkHrbeAL6GcoiTt3v4Ma23Qhc4AYyYPjN/DvNry
MC1jmMvVZFxezZqHgWv59zBWIRY4gSk5xU1TbZXEobgfj/pzaFnVNeAObjWBKJeeDimgQ5HgULmJ
/mxbmb7LfQGTfx7sYPXynEHtmYeaRZovNbBuOzlUU5vk0CrAtWXTtBsML91S3/U2JSFkg9TnNEBZ
U7gifit8dj3tpFsfTcRimH+/9jWekJIIGu2HknWsuRKEtslVLBzSXNHCr7ZsMzBdBU+zruO0vCpK
bS7rFqp5FXVoNLUpqUOKAF8hkZ/zoCVvETk7v8qdX9TnXr0hKj+LVBRLWynNJwOU3KZBR/VsRbGx
b8fU2GGa1j3IKyL1kyHK5aGa3Q3B1ypndcqza84d365YpqB35iuanVssx1mk0AQWtZd7nP+0C/or
RkWsPAQpqe1J7AJIilFuDhl+M2O6TtEfQqVbMYr0GjZF/lq25WveG/rD6HXZK+8yB9woyMjMnZOS
I3XnGNVB9tptHaHfKbqd7KXqUaLu5Fn4czKXNKzY1OS6h7p9AENTgn83kk8nVE9i9iCxbLYnvud+
ZKY1y42G7YMb1QAzO81je95ACIvLblEbdvNz2ni+UvyskmQAIIIkllr0n1A73JOnVL8PTVuP6yRP
jMVfHX81rapmtwU5UsanMEc7xMVCMJ1M9xQ0pKERX2fTGgl2+GU4/GBFhiDz0P9C+fANQ/Hgw03R
CYZX1F+iZBC7Gl4OXBenuKQUhFfIbFtbyxzdJY83/uzzoYVgcLQ0Bx25wcBeXAZzXFExlh5jKtPC
4/k1hYvQ9M1TX9fei+f38w9FbzBmpJl2brWuWoHlxTwYlwBrOxkmchtzM2jd/2LtvJbc1pmufUWs
Yg6nynGkyfY+YY29x8w58+r/h5Btzju1/Yb6/hMU0GiAGo1EEd2r14LHGTHk21ZW7jR3vtQ8i6Uj
p+IHCI+W1uRq1k235NEn2MScJ6iL9MZolcccPDNN6rXXJuH2U604N/T+Akhyj/JDAOmAscqjoXuX
c+UxJcv45rZmtVAt03lBz2tYormbPMqNHKwhnj46iQVPoD/A2RqO2b4HiQPziSJly7psDzxq2ODZ
mVUsPd5Khh2vsshNH5OpGcgskGm4FxbZ9U6ONe5lps6+bzpnVcmMEd1uyqdl001WQIQ6eSXmy4GI
cNbCV1w17jkkLr8s9N5epL78FFlUX5lQMmwH0k8b003LpWAWEsRB4VQAW2f5JB0PrFUeKxQRY/XF
0vnz7Ei9iJFMCB3k9ROaqtVVgXP4UGZpufJSy/g6tNnfVmIk97lTSXfQQ5P0Njq+R+g8TNHIe7LJ
1bfEb/42eM++8uPSoH0JLCDUmmAJY/MVtfnuLqOIaR3YNkhix0IyU+mqfelRbu3CNzmgnYPcjjye
+Lb8pYzcINEBQf+tbr2N6YCwhO8t+NvhH6OVkrKLlFDaEQD8NpQQmyc6BOQFfOg/a1lgiEzV3HpF
R9TdInWSbs0ib+59Mz/H7qAiyqVx9C+T73INswtBZ/9qhcV9J/nhvu8D8wiJN4yQU2PEFy9/ywq/
9hZeR71oFrQ/OnUja/K2Dwrni5+53brW5PJoc4C4eLzEZdjwkKXB4LBBdVu/lGPjLTtikVQLFSFM
0Y4fLeomsij7lC+a0oxvyiSxCnlKunCtPOcTNWwy2X714dr9ZtsBzCodBWf8oIRbs4QZxZWN7tUx
gWuVut9+94xhW3oFibtGe2pT3aFKT7r3zHRX65AtDBakI0OkLusakeku8e1tBCf5Meurfmfa0sEd
s3StDM5xjKt2IRP0IBDT9Js20MxN5jZffCutUXi3g0WVDsE3eJmutlFY7zlfHqic0YCFBn3jSHV9
gPr14FDffIfDJGZOhcJdOoBLj4CB9J4f3osGgjLlKEWw0k+mSJKgFUtsY01uRzl31qCc5S7/0tv5
tTBTovFZ+UT5eHyB2Fl+ziQFAi/FulPDvDoPRnntQqA8eRKGx8B5D+UmPcmQTjhhP+w9CwYU4P2Z
fpLu3IZKRd9MvnagMrZg06FmmobSYF6myNaDqbbdXWPWFK5LgNp0KQxWpdz4R9Vpzkrd2HDWT4jD
CZjoO/R4RPg7yn0wUgP0BcIuGoqxwNMLFzF2/OovHvrTVesOzz3aQpciDp9rJavuCLTyTRo7Mnxd
1b7IdhouKLJItmXQ/m2TCblHJlg7971FaaPuB0ueNrITvXsxCWl8d9/2FnDlMfpGWB+PTjGGvRNE
+eI2DlSrXwyVGgOqS9t13tvFS6GFzRpRyHwrhqZm8vPjKPDLeiP1b04+LLuaMlCibFp6vHUtTq1H
V6fSbzmBKo6Rpz+QCpaWfocIoe8c0mq4FkNoXOwEVGtXr3VH+5tzXbGQw/pbpxvtdawT0k4ZNJ9l
8HUs+R6GkrocmrD60emPnW3B8hP5zqkgzbSAhapd9RHFM02IFHkgNe4OoTgCTnydrwlMntd06pGG
viZqXFDEiUlMthmFUl3HvVIMZVVP7iSl/BaB6snQ/XoqI7nlNwhaKDG0Am88DzbBMn7nnsB8dg9J
ky0pgzCf8kxOFgEwARLn/UdttXEaxpHGr65vvv2TtJrwEBMOPw97beDqvxXcLJiyhyD+Ubi5fegL
uB/tBn0bqm6SXaBTYUV9JpXJJdxkHLmHjZZrxWW0S4tiS7khhuNdnbrIdhmP6sfUJi/n8/Xf8RtC
ci6DSgHCw/ECKXO2doNAfmjGyEJlqJOf8vi+LHkAneR679s2DHetjiJ86Dn1ZQim5IsTl19VNz3L
Bd/0KO5RWwfORJRLW5oWkutaY+i7xh3lHVhplMwzNYYd3Cr2islugLunn4yuIDPNcylVy2tVLs13
O08elQGZoCqT5WunSevOCPMfnPLufO6FX72WV9j5UQZFU9DsyqG+s/kqbSPV7ra9YQ9X2bK9FRzQ
6qtMglI1k/BHap7JZAEd58t8Nfva+mr58JwWrVI9kGBqNkVcZ2BdSrDRhLF45qquWaU3y7Syom9F
1i/9rIzfZb9EBCEN4mcTaOCmhfrkOI4aLC0GWF7f6RRy+sNZrXX7yXYchVv2hihX8Rb4BuWdtlwc
XL2zwBN274oXcaO0LaD4RmUChG/CI1TE4ZrIzXCXOGa+aA3jW6jk3hOliMNOgTh1C+mp88wZHarI
1PsOjQUAwjQZHoZE7yj7KeVNmbbNK7yoB+ERmPVI1RrxObWrsm3TVzvZ8uI9nBDmXiH/cOJ/GZH6
q80L1BPOKoDIf930BN0HNRhOKWHfRR847pOh64SDyv4wYU86DYbgogct2NfxOQCoR0VNWa9LA5lq
j/dyZaJ/uefHRXppwtFf2K1N+nuarRobxRlDf5LliYvUzXgoqvkhLYFUaHrb7ZuG6PVoK+lXJ7be
O5Cm18IJ9Wum+X8j1p5SAO0scnDUS+r4YFhwZHOPiNSw7dsoffDUKXKdNdV3E/KsJGiUd04574Uc
WM8F1E9rRYm+2kOZr8h7OtdkasAsw6RK7mjnmpIqwflRKauxBLPku6VzFY6OYwLND0liz7Zc6k2i
v9xYpl2EW0xc6Wrf9r5tFpuI6zSXvu0INkuev7azPD1LXoUAwRhD/NRq8QnUxV8WgMlzoBnrzK8e
oaAOluqonsbKOeoJcVzLsZVzjqj7chx8ZWXUdb9z4krdo0MyXPKpCXbpQMgFlEGwyz0nWOlmo76a
A3z6Zd//oBhu9DtO7NBaPZfE2xdV7WTrDoIkbpexNx7IICx9XTIQisq1nTwAYosLUyFW41k7N5LS
JR95vq9K/MV3VGhgbERgNDkfTiPFqstEIx0dmlq/6oyICL08WJTUNU27iOrmEbKgZCdsc0NV2C+X
yla7dWd12oKnkbNOquDVrjrCMJYevExslKs2MbRr5PjOxqc4202MLRmp8USBUbrzDBRvOrWA8Seo
z12pJY8wKvBcjcoe2Cu93wubkgB9gV0WOKhkXzkKWO+KShhqnOTI7AdP4ykZtYk3WZKGg69n4wE8
Nu+OSwYjoKj/1IA94kEw+iJVpB06inDXLQTMu6To7XsZeU/ZUlsOPSjNU/dKrDTgjOMHzTL2kuAE
ZjjdByMBCxuYx6qwRnWl+Y4LuUv34BENdwyTFP4YSua5BqHoUq92L2Veds+z9FTtjGzEaPLU5IHe
fTYRAkCO3OchL67LZ1S+CKJH+hOfHxOMzhKG9/RqN5OucPNsUYx8JfKZ3JqCvPSqgCFsPUxeYiIs
Kveuzr+LAUKn8pqEabSyrHK8wjDlLDSl7smyaOP1ZpMNc6vGtg7+FRcxwWlBvxhAJCdL3oXRUjYQ
cK+lpjz1jlWcmib+2YuhWoChGxpGSK8BKQufW5c7EZ+rWG43Mb+E59JA3VeSjXybKI5LVSUNHwNn
39QW8ft0PBulyQ9AEt7XhRTx9ee2yBOshSIsDN0Im1BCUhrWvbDVdkagsYK2NLRVjkmVS5KOqC6o
v+0op+kqK4a7BjqgqwyzwVJzfe/e51VvCc3FZAs7WPO98WoDJjrxpas6ZQWvoM7PtKsfnVxNtnWo
f239Njr77d8Ewcu7uBnyjWO7sMUEKBBVLqSbogenMjQ5ojs3tXXXF/1A6BT5kd6UTYQmLPiqpfir
C8fJXwbyFgtDl+oX7vfKsg5d77GwS5TawtK9mDIfiiCCtCeIjmaDNq/aGPy0TEPRdJB6UAXpZH22
EFNqT9w67VZSF6tXrXoIBDmTbMbI8/AG37ibZMJxe6rCSF+MFJVw6lWnUB8CboJgSTSFr/BY4JvN
RvFk7UbgVNYNYqS9Cr/QROEk/Dp0reCLNk9RBo9AHnrxqrEU/VAH1Os7gLmeFN+sHjhOL+Q+yZ5g
flwDk5Tupwd1t6mUVy12ilOZBO5taORJsgyHLtxA4ILGStr20hrxUmkbA9N9qPTsO6UTYMTSrjvw
XQsWHZmqeyOLwMs58bg1HBfAVSm9+GhbPXRDstSbsnryhqF8yhL7mkMmfJd7UvnkaJ2xbIeh4Q7L
0LYVd0uKIly5tXtnZHl3bvPBvUsRW4efM3z1krDcB7KfU7jhRa9mRGySOGSwE7MRddRg5EmViVlX
QrgqjaRH2dblB34/dsLcW216iv0MZBMHTQCSow95AxlMQ6viFfUQ5rMRRxB4q3CHU1FlPicVsW+A
ZvLKnobGICvbPOPnXYos4zmhSglIqBKvxVrVab0tDN/N+ra2ATnMr70Gwy/OPOFVm2x0PXjS2Cpq
+wDSduq/xFBFpHINM7+8Ec5pByZdh3b0Nit7UUroxs+3t7V9764g/JG3wlmjmGJV+rZ7m43NqllZ
lNnvhLMcdICe2ikNK647+tJSr+toC250Z1hOe2m9wdokwZif7OiYEaGjxm7ZKnL3NFXSPCVl/0J+
zjlnMAvsYHiAXV/ru0tTx3tK2p2jpUmwsQhbrbwVI5VZN1OrddGdDlLBlXM1gLo01Y9kRw52Z3cX
4Z+WQbzi/BwgX466iZV2POIF5InlMEa2jtxFovTf09xo3/LcV5EJ14wLdenhLoA3qiYddm2M6LmR
kQoznVQ9EFNvl6HTe68loeONBs/BRswqFbIfdRGjLjLNZjqQviprr15gay/NW1Uk3k71M0jLO8J2
YWKWq0oqyi3IZX63bG8cDg4yFcY6NKxf3Xjq6kpSqMsPDh+6eqLkm2iq9vKMB3fovBeTP4+i5WEl
QQP0ovFpu3djhIimkWR0+iX0hgcxCsc0uytA54kRGCvjpKHQswgmPvWxhOTJ7nv4zqddEejUNhO7
1io0Je0yuPLPRpf2lkTJ4WzmgT8/xC5gyslptsc6nIv+EJjLTxOZF8qLwk2G7ewsXIhHcNYx4Zr/
fTm35cBolIryjDDBhvru4as9mu5qrJ3uNCipfJZVwl2NCnAw5IzsD5BNBJOOkGiKSVZI9GLNmHgw
EIYdLRSFhE353YuzKcncIk/7aUI4i1lYexH9mHYWy9D89eBRgMhiPQKivu1aEVsG9kRSqlmAZF5F
w5gesir42VAbmB6IfKcH0ZsnZr954pPff+Eybw/cDMJ7sf+8Tgxnn/lK/4XLp63mtX98lX+82vwK
ZpdP21ee9Ovl//FK8zazy6dtZpf/7f344zb//kpimXg/lHZA39EPHoRpfhnz8I+X+KPLPPHpLf/f
t5r/jE9b/dMr/eTyT1f7ZPv/+Er/uNW/f6W255c8HWoZor0Dj3bB9DUUzb8Zf5iKKp9VKTnC26rb
uNGj7OP4tuDDsn+8gjCKrW67/Cf/+arzq5Y7VGjW88zHnf7Tfv/p+hxmOHp3esjT+XzF266f34eP
1v/rdW9X/PiXiKvXw3g1iq7dzH/t/Ko+2ebh5xf6xyVi4sNLn7cQM/H0L/9kExP/he2/cPnft7Kd
EurcUnsbJCM4NlI7MSQCNjvGvxsxEw1DcVC1qzALi+hVYsHsa7pleBTTJQmkvRMjy6Z13kOmNfrS
qwxqq2pDus+CGAK1un/iFAyR7TSKcyoJW/At07xYMwa6eSD7/kPMC7sLT9RmLGHEEjbRVD1sGaYO
CKyGbP8EXfQFUo/4UthSvO9sB8Hnjjpf24xuDQyV8TlPYSCdvLQoQklOzAaWBJzNk083m5hWI/0d
OToCIlYDtYzYKvd76pxzVV7fHF1YJVeVEdjwJBvUl2QjEjuc7MFhIqa68SO0XG34bgzq57viohM0
IG8fUt0zDYfAKi6FEhcXRWm0racXQNfF6larhp1bgGz4sNrqHYDJafMVckF2FAsrM0eWyKjv573E
1n6nVQQ1veNtvyApmlOYxtDy/rqkcEv7rj+rPFjc3PSRI5ql7hy57CliRi/ImxTqb2L10CNTov5B
uL6Rqb8ah25r8H87Asr1Tn41adm7BouEUSyfpwtwIo7k6Ieka0BV2HlB0WkK00dm7fPC8m8DRwkc
0DCTPQeOC8EVwavbCmGcl0nWGC1JetTrD2tuntVQrrs4SY+fF47K4O+bULr/tJcYGpl5JtJt7JXK
QKs+RmhtlDvvLmgS7070AHt56LaW3tYFMktem9l5Qvh1zhidRypLJ9d55W0jrX2w7SgmbhroB9GM
hM4OKCPrB9FDMG3YJ1KyEJPJbzcxdHXdSyk4YUVGcTRis9KidWTgZaiN+RCPNYV610qSciesLWJy
azC12lJM3GYnd9HrRpmQt+qdhO/sQcbJ3Eg5lB7gNX76zrOR4j8iMqQSsP2XSW3M9J2u2m+z3QRP
qMKnlWZkeVx5K2bmizloGIKq66AwmV7179d1G6aU6lFqaK/FizAsT+UdKRMYtmz3IBojy1Csv7Wz
tYtMrBk1IUQLJ98EZAvC1wPKd2PcSR820IucgEHcxdJtw9uiDxuWPVyvEgwNKxVm9KM+NWGYN0cx
FL25+WSjTg/aWA5iy3nif9pgXna7hto7mwxqu5SDT9mfEo6IKCCrydWX/fQaGimnqxBBCTFBvC1C
gxqR2kmcEl5a+0ApwJguxBjs6U+jZfhPCC3IG2EHPeYc5hWzbymELcU2Yu3s82mYez3VGE69H+Xo
q9SkZDJyAyY3PYweAwBqe9siaCDzCXstWm0nPCjgcjhzO/7VmmDsaUZ1XW7GJZAqCwr/CU7STnCS
ZgDUk4+5Sepx6gpjPc2I3uwjllT9xuqRb5pdhfmfhoGAqMw7xfJ457b1cD86xlWvk+6p4MB9yHW1
XA9lnL55ukFKCYAVobMBkrcpBSVH7pfCALgaFdCvhXXtLqR62AuwsUAhi6aubHdpGE6ynm0CtpxS
VbdOwG8txcQNnuw6brjVbD76H0DPXt1Ge5gXv90cG6q4qwDGXASu3INTOM6Bk6ueLkRXNHCxG0AI
KjTtb9aSMu2+UI2NNntCduoiwzn5kDdCJnZqxHK7qAMAloQFcrPqYQxNIVSXR69GNieo7soc3mfR
E00+JFTbpjqoDrf6ORH97sUeIAeYnPWtcJY1DTnoyIcTtbaqS5/GL6HrWJAPx0BOpXhAN+SXLSSV
dRET/tT7kz3p05f49x5R+0TYMj/VTh6d4f6Pzk1prSqH0CekXj9NYnIsuhE8SaXke0hoT/JoD91C
+FQdCGrynijDp05EfeC0V9LWVbAV3bgx3u1AzbYfbOJS4Y8cXvCT6EuETPteSyC6051DMjW9qcBI
OY9FD51gdEnMavfZLrXO4Z9sveG7BwnRJzTdJ5/brsIqxmKNaNqB0pOlmCmKQd6RVW4NU7nqup+/
1MSbfRkguxn7+jNRj9ps8hfPS2UU1Dtw/XL2oiAhfzE681GsCHM7Ppc5D425TrTWbLjR6JRcH/3U
d4+il3T5X4Nnmxsx6obCPXoVkGR+3H+5hL97s60DZooajov6xDQ7T9wWi33Ejp8uV1Ots0rrZOLE
/5d1s/PPtYGMCoUVbGQ/yLbFqHv3klzCQl848Reid1+NXld+IK7tGDqpX9sLH2Mrqr86bURKJ2z9
Bz+0uWcaoXQ0azM+ftqngfTr6HclfDd8iE+KXFn7TsqJP0E7sKgRzzkFyEsM5wZWwE0bAr0Ei2CW
r2EkOesYtq6FRaCchGkSrTstb07N1JCs+9jMNuGiyMo6Km1pP9vFgnko3IQtzTVzN0YOWm3/sqWR
jx+vMK/XQtIRdZJcXcOgECpG3MGClXwrhrGcJ3dOEt8BsI3yZZOiZuH5qG35Wg3PV48Cl6IF/QJS
rY7E+b80GXq96L0acHvDycRU2CnwWItu7iWowBaE1T4Y3SIz11oXgnJzqmYTKJEylRz4j6JpdAgk
0Lq/FyOvgABn9ugmtw6PwBp/efDUBP5RQd5bKdJqRdrRO5eCJKmoYx7b3axfCyPUmf55EIRI8eQk
jH/2mdfMPtVEuyQmwlDzdjJYPRiEcu0ZrpDIVfLntkKJ7tfg10whFdImpTqKYpjpvqd52TqEymEp
boPzXTEbYMb1p4nZdruPThP64BJIn26ropm3mifmZfNWs3OGYBPx2iTlvl6Pj9T69wubjPthjNCL
URPLI9dKSVFsuU2xrOAq8Rv1oZ8mIcawl40CMlv49pJpHINq0rvNtLYgrRIc7VINLmI2yPmPpAk0
5mJokZm/071+EhKSH8th3VIfU4GkA7IwyZ3bmbZyG9PfpwhdnBILFi7ORHm0El2IxYdqYWcgOylD
LTf1kPbVotDkn663+Xmp6HXBxMEwcFYRQ6LsVDP1gPAiKXuwqTa+c2tNeRpIei61yNL3oKaUJ7+0
bNjuPRfF6RyqMFnvluaUfTWQfN0bWvG9GGWb4+pkA9PoAQJryv045WFFo3uKvg/q+rsYNVPOVvgG
lO78o++057xc9MS+SiaVe1i64mMfdQX16zxPKbwPF70EMCNsrUK1Zu24znYsMukup053PdQtanO9
ly/7KlEOo2jiCoBTNskJLoThw9Q0n8H1cfCS9mdPuHzw1qLgS5rJ5Q70TnlQZYglf6sNCslBMcyC
7EhaxD8KUy1UCauE1JkppxMF/y99QuFcmlTOSb0K9BjJwg8reiU/GqblHW8biJl5lzGF7nr1+2UM
bUWifPTipRHk76RS80cyUMWjJMV/ketvT/o0UmSj3wGZRMpq8sgLtXjMgmYF9fl4Ff5KMSJE3FMi
JSYlw6zu1ZrQ/bRcLHLdWAFwhNb37QJ2nJyT1KC2X8vzZUeoZGFGTnYUzqAIxr06UCkkro9ChLwf
bNKSEFdbrfbaVKV2tiTgsWJoeZAqjzVVOWJYOFa1kPXIOqeeJL/+XNO2inaWEnjG3cLRXuc1PMSG
V1V1r74Pp2Vgxd8SMDiXbGpIYSoXX02MdT+pl842MZHoGToJESo/Yiga4eLrwWMPOvEwm0SPmtHe
JDgz70Pu0D64KZS/vy9381SpNXd7B6zr9BJE01s6DOqpv+1cqT4anD1z2AbU+qj25c7svGFnK3UN
PS2mWDU1qlbEWHSF9bZGLDcrkohAcYtq7Y/gn5s6+4cFmUzNZxRIO6XhCCGauPVcUFfTuJIl9Wak
3OXn9Oz4yTZOKxqzcX4uFtO6FqtbBVz+562N2LETtD3/Zduc0pedNsDfCC9IvIpQnPmiNE7HL62O
SKfpZV8U+xlSZOsFarPyXIVIBlp9nH5J3SFf2x7l5RyxIXou5YWVycrKmZD5SEGnR2NCboqesI0A
0YEVTzOiyX73xBCaNKYdI4aWp5t+eLNuL/PMfIKXurkqftJeVcVwV12H4s1sM+XCO1e5uxWmjqJL
WGYnSldtsPu9MIomhBhiawLomHium+vcmI9h7WZX0JkWR0WDIs6sKh0A91ywCE35nBig2SgxXYXQ
a+5ystUvTcU7VIUGksOTEjP1v1RXu0191KdhV4NgpULYPYlZ0/bfusEZ7sRSELCXpFSLq5iz9Xzb
6Gb8IOYCqV6AwImfFEdxnjvkh2F4cUzpKYAp7wpgszpmLojUaZRAbXDrNU6MCIHSVnsx0RteeXVK
u9nBpMXzyOQ8TzS+tJcVvUHwAjfhC47N2zQewJTZV+yOiFwR+f5t9W3OL4FjSJqyljzP3TidDw9B
7GUX0cgG0lBjjYCuGCJo/HOiyiuoaWTZ28zO6TSL5ES38qMc6rnfu0S9kl08X3XWXZMjEPR7Qqww
OqJ2oWRBxqRLGxOm7T3XMfepgmrMRE4pTwJ6yHKhFSxoLefxPI1wIYSXYjzUdbGrdIqX/WjcZuT/
YXny2qurqXzepp4WnUM0AC/klH9aQjfrpqgP/yDhME20eV1SwQCYlGjx2pVi6vRDB55ACGj3nVNb
12FqqMpFBbgkOhYrgXX1E8O6Goprbes+shazTVck5USF01GYxFLhC43Nok5VH4wiu4lJxfOC22Vm
23wZp6XiuIWb5uj4VrunMJvi9DgfX00euVeJ3hCPnIY2bFSU7ev3fStVj5FubT1ZHcGatN4xBmG6
DMRQt6J13HjVTswGRf8WulOqHnTOc8GnV3jBrQLxPQdCRCvYuqiUdAMtR7AVwzEsQFEqvnMWQ6UE
8Smlr6nmN3f8UsW3ReizwDwMU8NaeOWaIS3KEjy/GKYWhJ0qgtt6wcfWzDOUFqAD2le5lW656WqP
JBu4k0Mk8HdgQr8NIf43OAL7pYXU9+WTrw5PAFos+KYxKu88Pq4o3nVWtTxqx3ZqRE80AVJUR6vw
3QIOdGYk4FaLVotqCDcZRmX1oDl1+NpFtRM+5WlTv+Zy8640wca2iuI+72T1ibJ04JFlxZNi4GtP
PWiPlWd07lbMBjrnfVRLNAAYOA8ofx8jF5hUNDmXxBCvlIAfxKRYHxbfY5vTkLD4efjVKyUYridv
KYfYf4RYXjYMeRXzVXsQDcVXsuE/dEabP1DMORJLkiG7HN0oXtoxx9VU1yFG/e1ft9lW8w3jTrXU
dzdBkKzvlPjSZdwpeZyEHR804qWZGjHRp6m59/rkuTaLX6ZpQZra+bk0w+XNvzG9Q+iP50ZQlNZI
JYre3NT/YBsS4z/5zcvCkM9/JtX9So+9CKy0C+POoFMxPNWcqpWvwhhEI3ptTp5kIcafpsGCBjs/
cE/CfttBLPnkN9s++ORwdWz4PrwrcqHykMGFP1xpXiJ6n19NqhMb6nmsW/zRUew47y38NF8y1gV3
FZi60QhYdjas0nxqo3xjTNzSYgy1SQB4GEDjbOt6DQ2jD+NpYSOMYs3clLYVHvK8k+4BDhqPbZV+
lzKjO4kRIVd1w9nMWLV8bh4RDtkFUdaf0sZWUMmhUmMwQxV901S9CJto2tSA5NJWs7UY5tIIdrdo
xz0xWz7/Tem/gIYOqFBTGrQCs3SjO0NzjqLKoU4l8A7SxPzKpgSuAQj5Y+mBQff8i+gZKr82mdLA
jvyvE6iMET12jVdhN8ckhIZiclHiH1VHIknskWS2DzlEr3Kbk0wUZKkNvW0sfMuBhIH7PUaY5JjU
cXa0+vA+0I1kG/42CXthln6++NztqWjHyht9Wy3mPzj93k3Y/rxl7jq/dq9zbwvIyV4rnZOeqzho
IVqg0iCnxmQRmK3/ngLzpIjoB/+ZLxrcWK+jktUrV7HjS5bBJAi5n7obzEK5mDyjrcy2yZeU7jsk
H+rx5OvAszelTymRVVn96oNRdEWjeQDU21pzgWuB2QbbrY6neXqA4r5ZNC5vE7rJb/NEAD0sSmxo
XspJ9sCvLbdj6EjFiEoJ/Vhl41cxEk2X69OHpivXajVkD8ImBxDBlKPNlxuTi2g2qdpgLeb0yQT9
ibodJa1ZzrYkqe3F0AJWnzfqo2+ugoD5bVfKwQ6UyYULsYewpQ7csm7chxth4+EoWBZqUO/gGblk
+YDEBzJLD61j9md4M8/hNKJMvngYYOHfQJo2rsRQNMTw3wHKh0QncYsrw7m4ZLzFImGqqbbewmzQ
LkuIoakT7geQZC7SjH2uXmLQ8Xo+Bnf1NBJ21Tf1I88OBzGy5VEHpagOxdZCcmshjLemktWLqyIV
pjUwzQmb38nanT6Eiyopw7XpSMVdkBtkZ6Hm3cWWot3xd9sAni3luTVJoMit7v895MoygQyFYu5W
P6R6kL35BYWrNqxUkB1J0joaC+ukw1BycCpZ31oERa4t9ZArKFjkVyMLvpHhKn9Y4RZFDW/Dfabc
WlTPXRtHNZdZ4WEzm8ZZZDybn5raOYhZU4pgvI8HPuJojZo7GSzkPkbiZqWppXmibP4dSgWfAgoF
Se/JNDezzYSjfZfJDfXmeAi71A95C5f1r2XUbv5ftvunqwrb9Ao5d6lrD6R8OaUv66lppsyraCg2
WoUAfk+zSXh46qBsGlXmHzr5CptYL4YUgj6Adzf2YjTvS5VMChfINqNc6tAAK59klpOnoo0pFrX+
gsreuVRk2IYqLXaZKgd3aVdT/Wto5j3RIJSnHBdyJXRIF8hiGH/1RvPYRXyCpb5aGh05Tk75xxu/
6geqVdEdnERdl4VOqczErKpqBo3oTY1wGSd21maKWgdj8mNU8+HCHQ2a695vv1Gscigoq3z1IDfa
Ul/e7orADZGxkb8ZfMZ2qW1Bv5NZ2UtPAdLWscdhLYZVX7drhJrSrRi6YxeuZEML92LoqBP5FUIX
x4Fb5YsHkxXlRlBvFbIsndF/BtecQr9WyLb63Cvpz2E5xVvF0IkcFyqy9uesGCbXXF8PnvzejqMD
86spozoU62B96zQCHd1xgjEVFEv4Y1aJ1MpnMRJN4icTkYX6HnZamqx7a6+aBPoJG2iUw8jarTc9
rFMYU3QkgSg0ExM6Ug63Wb5qOiVKk3dcGuo6Vzu4Z39PO4Wh5Sux421bKmsXQ+pK6xqpmGUbt9nB
iBJ0ApGLXY3gz7/JBiQMqvOXNHbGelT84NCUdvqoRdo3RDyTbe554HQaLzuLxnb7+tTZFzEYqqJo
VvOkJnnK0iiRWOqbottBaPjipgXFhE6pLhzVku7qSTCEbIB3SWPYlgxF+2DPi9TTF50N+WRQN8QN
cBOrYKBt92OL0iXpi/Bro8JRaRr2W915/NBFOTzxLXUZTVe3cEZkzhs0QW9K3paPujZEBx6VlDUU
z91bxONxrDlvOpE6MrW5DBZWVR700X4X6zgH8PNN2cl9//8IO6/ttpEoXT8R1kIu4JakmERRWZZ8
g+WIHAv56c+Hotu0e/rM9EU1KpImRaBq7z/AeCQf0dk8d2PnIkmmj8+24RqfYZTi3QlE5KCOjqrI
OQpFouIxtZwmVRHX0D71tsYgvBAeSsPVLO4q392oQ6iXLHZtRbg2gla/l2mi35cy+Gji0DiomipU
Z5IGqwFu3N213TJN+9RV1lxjValL/82drfnODeJp1euYCs6IzN345ujtVDXXnFdcnde4seKJscjW
2EYS8amZ0UldpXOUy5W6DEMvlatrl+61HFoaA2Q4U/4Y+OsS27+V3bo+ao7zeEqWIiQKU2waa3gX
pdvtVAfuWwHWJ3H5ybULGIdVE0m+6wH0kLqMFtmdZDG1WB44p0uxKPlc6pdBHSk3A68vBLEWzLRC
RUv03AyOn5HAYxRdao1QMX6us7lvF+8eCVyep3pi7dvcNF/1PvjVi/RdcpwGnOHYJ3gruHTh11mk
uyax7Z8o7B9k0hHkQ6SB42NwcKUoH1QgPzPreaWHRXSrqqERRTe1jjSZl4pXOc74I6XzZzfwqm3W
jgQffdG8L+1lbU6focwiy8qfMOmddQ1C6ljqY/xueylixr586SZUIPO4/6GavXyIdpU1rpx873JG
O6LcjVLzcmX/XZ20cVjsC+m+XF6GR8CtsA5HPPf3nH+tcxltYC9QrK5rhr54FPAgdk0hhpMWlgOG
91hZOYNx3+FlbmPmS5vqTfVxOKmibIoXbQzFLpWJG9ypNqRBwNCYVbNSMwCZxISnl1XrYk73Bvmf
CvNXvL7hJFXZsE1/k7n4AsW8Ur1OnHyUUu/2c2uYsBqWGXHUkgmq3BiW3u+BigWGpI8LwOwLx9g0
RdqyZ0NTsQlpWpIYO61J3W2Fnhlq16ahb8Kw/VlVhPK1rMYnEN4LzIp/zN75t2L73g2/OpQB/KVt
Ucj4V4dXCMiv12XUaOUSfzGO/3v9/1rm2naxj/89o3BQVuG3y7uJl3cTL/bQavT1vTqR+RTahbUy
NFlviDGUDziMFQ9iuQJfAIHJvVctqpgjXOSawRV/DPWzduI8tL9M+b3CWE85t7Ggu1Ez1dK2p/fn
iViWarLzPsLxwrEJI8dRsp0TJ/RXBs/Vu8obbgxVVfPyKitJZ+r2Vg+hjUPz67tTDCL0+s7Uq8P3
Fdzw53537fDbrr+VBB0vb8PWFxMwbYORs3jMCTt1PoFS06m9x0z69h24l6Pq05emchAIdVgTu6Ol
qjraqhtuGsP3N2bCPnzNCS5YSfoXN2hxGcOXeu8i3nNSq3BX6B5xs7n2g/1rD6i63Akv3Xtx55xb
p8x4vuakQA2pA9FB2eCczLZzVlde2FiHsG2fL+PUlHDIvhdBMe9z/rMIfDND8JPYt9KKV+6yqhp3
XWrBhU6iKo+XlzTQyohhZW2GJds49F0IBa+q9qqK1zlGwA5UJFX1cqQ+mu4ZwwDvFn8JcSn+VVUd
qq33k3hbTVGC8iDYPysZshX+Ns0jHnPNY5yQ87IrE8bXMDV8zBTwTP5sU4N5CrabbECtQ1XVODW3
Tdh72ASYL3P/tZ6UUburJFxsA9fzW7vsfxV+J24HNg1Q4FFagkz1T8diWV5jhIAcp5PIstmiXY7m
BDKDtVGHG7XCH5dqWTVa9QQoiPBDwxpp1jGPwnwTS8wqxxO+TfwTlGmCbIODW3o15PrmUoeF6p0u
oyY/RMHCjb7+0eOoSeUyH9Vzjt/wBNmGZ+xX7CbQbmdYheyvKJy00rBhJuuHoI9pHNOxik8xPFfU
561jkmfbkBjnPhHQquaqdo7kbN19aA9PmjXAskYVeWXNfbvlADV9TokiwD+d3s0QTQT+Qtptk/WX
9sJt5kv7kJt/tKvxM3CSy3g767Q7XBWRZBmRTxrq+tws7rpZyvG4rab4OC/eu4PAWsDAQG8rF7Nd
i4PLnl9UtFG9IdKsp8BNeUAtc+tich90Ld53y1isD7yjFwZvSJjOj9LtrZVsUO1BC26FYrf1xTI6
7DHCPkbO3IbiakpzlSV+eu7jKnvGcem+Rk38A5hVsXVDqSGw5lcfPkxm4kcVZD882kn445qY30HR
bO6QrsZAqMYEaPCaS1PoRggUkclv7oxGI5aWA89Wg9UY1aGqqqgEPPYgxJEnjBbNl+tAdaUtks7l
8O26vGpWi1zbhij+3ImPbCznbWPJ0NjWswtpUeO4tsGItF5zH5Vso5YuJ0nr09hZ3MVzP8m2BJDy
1f+YBZYqOVq+tbksota7DLLT/pOhWc0+sZL4fC3cEhT1MK2vLcgjxWd0LPFKmGPnhZBkeFBt1yHq
SlbevA4MQ9tcO4zJYxpR03Dn9Dm8w+XFLo3qsmxAdqDetLEy+893YQlCcV3VffGadDiGwdQffV38
KlSbqqqOa/WPIUmtZas/6r+X0ebAXgfYaq1V73Xy/3ctsbyw1lbRHs/mA9Ie8y4eRbRqFgmtFmV/
pAC8alNpvnVbRD7SW0pqK0U06i4lv7OenJhgb9BMOi6XzNFLvpRpNm/VEOQHYpSVMGAKw8rZj5kQ
7B4b7WMYjAPMOdS49Wgk+bVoly/t9Vz/sFKUOuIkMs9Vax9l1G0HrT8m0im/RrkneUpa2muc2PVm
lNrw4OpOvBNoa9x6WE+su2yqsLYzEb9v2y+5FMmrVWnioYRIXCD39hqQj3kpw6PqUgXSD0CadYlv
IKPZVzxKaa/w3P1W4xX8kmJui3OFtlY1BzOjFzHyI/PSbjOx194Ia+VqcfocRl3/nI55svHyoN1l
uds/62WZ3HEHfFOdqhjD4LPHbvGkashxiJ204W4mOmGhNYt5y2K+iH4tNsus2xEIvpu6loTfXLKH
WUR8ehSywZwsVZRPbkRr7uoMNaA41gYewv848ShjHCOTCDs74EuvHbWsvmDzIpBYJgqg5RFZpjF9
UEgrUIb3dZunDwqEtfTJpab6wiS5l3qmr6aWXYdw2op0YaqvwOpXT6K0yyf20pAlirnYqarqsEp4
wkkizqpJOn1zMlvxchm/TAq1xS415NCTTX2SrQe7/Zr4YXerhpDJ8O7b2V1fJxh6u9a5SZ6kYa9S
wSY4reLeQSo4Cw5+rt0nTahxWAL4ecayrD/ngyT/r2eQVgKkPHeWgLOAR1GzCwLD4kMM5Lp2IlJk
y8M0M1O0jRNsf5aaKlRnuYy4Dvvf26YeF75RQu5NtZvS9VAn5EztITdyMyW5dzuOUX2PR0m9xqU1
//Z/j8hZY/x7jc6o8SSxynBfp1n7LCftPeA9nsql1hRdtJ+H0Vhrmi2frXJsn9Ps3bSz9Em1OHiM
4GToDFvVF0++ONsjOkmhbB+zxATWXNtnzqY4c+d9/3XgkR05WvLeCt/aSt+KD2Wqu+eOm4E7eMFt
w2Ouga7L5Tj72o1XAYDE9d1DDnPGbGluzdcJ6aVL1exd87XrA/FH9dqrBv/X3ILY3x7N23w225Mq
fB3lAx66JVKO/7SpK71D8YJQcEAWpFgAnlOOra6OsuTm0tgtaNKkE/vctebjXKGOrUTZOxyQeCaJ
l96Ytf3Ud0D1CzP+0Gtrjehn9BXgJHCw2Hs1RYJFYgUGJ+0RdrXiszNo5jlFQQZyEz+TUx5WN5dO
N2nFwQ31TxGUBlI9wVspuUX47tztegxsNqU/Wy91ZMtb0h/9SlVNxMEfYpli0tNo3dqyPhlm1T2r
vgaBhVSro7OqGdVUrb3zHHMrf0ADx7udUi1dAwDAXmRyp7u+nq01dkvRV2GJLTsl51PfVqiKmChk
uZMWvVWLIdgyQM1MF2OSZkTRSc1kax1/nWtnW0zC+TQMQ7Xr05soRPp7BjHcfI9rfA6n1tDe3H74
2jhNeq9quvkmu1Z/BVLXPZJcu8uyEufvLiCTaWbhWlXNYsh3QIHdG3B67zn8+EPduMUMyl6b9xWo
azMjNKQvhRONaE79vhpzlDI4DAxb1aEKo8rcyziB4MctomHr6/xMkkTB/qiTKEAE0VYUuGiNXsfJ
uJnSs9/pJnfMzHhCqXlYp5X0+NDncCVFYyPHZY3rygvLW7era+9ymQdVeWt4DiFoUaHIqH3rLNS5
CbiVWA2NwMAnnlKlNWCL07XDsxksnuG5nXzLgmBN6LH7mSf9g40Y1cc88YOxrbp6aP202veDS4zQ
yM2zldT6JjJI2KPZ/UVNmrxDhQrRD+EM+SrSi+a16DFab0TQr5oQB3Dygz2Kovzm5GQ3+zZ1uxdi
EovXGNh21duUUUiSx/6mOkUZ+s98MKpLFdidv+Hf7d+pmuVKb215A4izZWmki/9zLdVZa7P391ox
hie2Zfh39jJZrZWYL2GW2xsVduudLsPdKG5/xev+qPej5q3zDsUhueytWxPtjxk9mD1aEc5LZiRi
W/dFetMue+0+aZC+1bgD90tVH635TNSavC81zajM5zF9VBPVYsKpDjh4DDzz6McgqIatlfu3ai3d
Gv/7lcLXKox59FhhcClCs3WAjkZpvO162a1Uj9/Xv7pV9TJGz6VxAOdxuE5OKk4WIfpBK2OyuI02
YNxuTRdvM2Cs5AIz7q9LU7DInuuRMcXYMnF5GZ3HgGs1IznOSOTpnvHh6BEw47YLtkNYTp+tGe2p
f5q7GqVd1ayL/2z+a7RapFhien+NVs1Rknz3S7SNR93r95ycnF2KGv2LPYXfereZviES8qQhQPRm
m4kDucrRYW42HH+6eV6pEcgsbofeh80ZRBWA9u6TlRjj2iIDf8duEuVVXWvLO1XvwI0Piy6UP3xj
a41tV2n/LMLqjK+M9zGYDW5HNVFtQTx116CzcxSy005975s3cznIF4TNB3Tl5PitbKzlxmP/JDC0
Q3V41RX+/NIDbEGfRAfjtXxqTgPc4z/a8VC7a+1Kfwk9tGAHx/k1PsYo6jr+2r6M75fxgWC8Wl99
oH+Pv75uyDr/Gq/ez9/j/2N99f6b5f2LqbwZSaC8WL7zI7K64VuHCvScZvjDeCuYdDGC/06xJ2Rg
fsM//fuY2OKIyG3PhtNx9qgHJdvAC6bP6LUhxdZon4SJ5nG9tGNePH1GkWdt/24vINpd2pfxs2f3
e6In7SrHcOVW2mnTrLJcc2/rwRIYePTmRvWoQnVcq+qqkRZT/tVdJt2xi8Zxf22fjMEhUhbpz9g6
o8uUp+ZH1ctXj6zqT/R2c02gN9bNw37Eo2Y9IsOyzSq/QdqPAj+t5qSq6koV2kC6PLRbiRIKjyQN
ilY1t3eqSCu/vYuXQlUDZ3TWSLy0m2tbY3fEsVU91OZka9nhvFLz1BTVMVWoysLpbJD3F/pHP1tY
vTXha+k58akfhHFpnxIkTsbMxU5Tx5GEs4F97gfkX9IsP9aiw0U9A8218wuMu9Fu104EeuHNCajI
s7Xo3xXz8xhzvPFLjltiesYdZH728C6AUtpjvri0QbuZMHZlwxG70Pxc8wFy2/Tcjj4SuMAyUD72
m3odjh6Mgsw8q143XnhWoMRuDCuanzuEuJbTMJvJdm3plv+eRNMnA13Cn1n6IFAyDFeuCz5iXniC
yOrfdBn7FrMEdtDr3WcThtuww3kuOiMBtRwxrQErX5S4xr0uIpABBsJuel0dVW0kNHKvrup72dfj
5VrjGbtxzIzPbAQIBIcf1lAeQj2vYSbeNUU1lrumn9gyI6i3Jjk53jnQtgq0oFD6sfqvgSzXYzXZ
6N1W2k2o5/ExNYb5SToJkrMIy+1H3fFvvDaSW2/EMdbQwvGtTRfBx7aIDmbSjW+TlxgrDoAFPgz0
znXKEwUDPDuPR1xKap4YvwtMIH9VOR8lR82v0aNHC+gMDap/laJbsxcha5IY3DbSEE+cpQrPHtG7
vtgko8U/yRKLumYJlpgQ/I1bSfO90hYPcZn69yTcmlsbdAneUFoPXzKKtizeruoWdkTheeajKtjc
31u6gZRhiHbZpR3ZAVurHiTI7ccyg5gSmzOy2/9MseN6IG4YvV+bZkQ697pFQPu6DHlSjG14Ml6m
SoQp19ncFRsjwAi5AYxzl86m9Qkp/jrU20+lY4ZnDzHPlWrWUxMHDdt9N1C1JN/vbbFgBzeVElDc
aOYCV9aLQ5M2vrbpkoYzUlnY27k38nsvDYtLkWN1gjE0EtguUJRzCbJyp1v4sDmym+7zsHdh3xji
MxLN28oOyx/l0L6XjTG+2UIfbjQzkScc3oZT2Zb1ZjC79qWv82BDijzeSyOe34gvAKMJG8gXgzG9
RV73WQNrAk2Qmh467G/y4dkuWvtFBzvF1zu/FTjzPESz/6QG1cufDJwHYyVilJbNottp+phuaxv9
Prgv46vV+yeN5+4X10MH0xoB58QxrpNQMtGlG4f2Sz1BoStF5j2OKIvdDgY4gAmk9pea4Jvli+oT
yvvZPhRhvJOt034sKSM1AJdeNHCnoj82vWk+m3H91hF33YXEAvbNIvza+obxsiCOtmkj4iOmv5Ag
EbNaY/Zlfh21n7WpTd8BlHL3gy/+FPki3ltVbO09GeiPbYi2N8Jj83fwQwhoad+a0MvA3UjzIRTY
VsteYDkL1KEoZXLrLwrSqgimWT+B/cm30wKtuLZdrjxEpr2WP6hLj7MMjAw+YmHZNIrf6/DZuBih
Yq9WV8V4DGdBaPHfl6quCtO2x6MOjeR/DtJbTSftHA7j0UlqVgHAGIERQipBB2RmxUZ/DpvYeaya
sX9I/C+JbWGrnuVRcQqn4En1Cb91HqOq1/dNASZ1gFKQrFMnsm/60jXIYS31EJXZNbfmEtk3hvs2
Go+Vt8trVP6myjT2c0NKGjK7YB9skPGRM/hvDCz77kHKGNi/PpxVDcHb7qFyPSLMRWreqDZVLHoK
eBUYZ4xMWEq1tYH5nhtae7yMcN7NPDwSoZjREu3hbpVgLfCOWfCPtSkeyd4n95nuYzITeY+5VYvH
InfaI57a8UpVQzGa97gpEsLrvfmLNIbjaIJ00fx03reabW/ZdOgfABCRP9UOctQeiTz1j6Oo06Pn
mP4qDMKfdpUuW77Fw9p5dmv2Ji15s9WIgvKrmSbZRga15PUzjABACd4JyYZFCCjret54t12kSzK2
ZX8fLHYFSMROz10HSnCytfw9DLFtFgKhOtdFXQCe92MVyPQrLn7hqs9tjD0GJNVST5qYQSRAM0Sf
vyAXixdWl4jHjsDfzTQCP4Q2bmzbWsLGAHiwdwvTuu3Z9B7Cno/R05d7hO62e3se0jvo39yK3DG9
x2qRxyKngMdpMTOpw2p+xt5MJzyCIdsoPAftldF4xz8hhXHIj1ogZNtGov5u69OhKhYR/sCBMdzN
WBzk0bRye0O8zi72uHHXcKgOGxjSZrrxZdi8g0DCGcIqER+2RPNeZSvOQuH7pLvlCSmRbK1GZQLO
t5V52I4sk5B82XhZgSyqKfuzI4OG37TbYIVaa29e5EOK9IlOlGb/7ITaWp9OkXPusyrGs2YsjiYW
St+sqvju6E7yoRvAF+PEw1fWcMm7ZtkMUNZF6iIPm7Oy6zER7ReuV1fWSh9kf+8tNDLFpFWMW7CY
PXL4/ZO30HFV05CGqLNkvXn0vax6nuEuHjGZ7ld1k/b7EUzcFnsk/T5t4xj9CuOsaiBlAaYsBcqF
7S5Fn5gnZGgnN7U1mCutyt0n5FjM1TS6wee+q+9xgfDCFY9adxG05VXv4iKFOVIX8bawSp6Ug5Vq
gKMyPF3NREDMaMUdYSpr3oQQrtgndqdLte4Dc9s6CDJ5pKX5GpJk66WGrh/1VOKzhczoKjOD+k4V
+ZK8afjkx0tjWuxRr7FPqlPPbdRHiJHd1A5mHpkHKqS1w+ScWfnW1ZC+n8CB8TMu7Yek962HqOzr
MwRDVF3/aZLLVYvCZDBO4vbaPqaavXZlX22NOA3Ricawc39Zjjsi2J3JuSylFsZytDvJZvhpyBlt
/TEqf+RnOXjtDy11upXt1dOz18w+/1J7OHKy9TdDW35lB+DiokEKudeLiEwYFDtVvXZcqiSvUl8W
d/9qH+1O3yToam/UsGtRloQw7OJBtdheXnmbcTK6tWn7xc0YHHUz7J9UEXl8tIHZ6wdVRancQPEX
JZ5R9k8af4VPyFwWu9DzcJdfZqk21DRhrxuJf1TjhhbiSzoH28uEZVhpRsVWzsG0UbOGxu6fmkZ/
w5K0PKmm0cNrtpfJWU0Cu1fiNhLtKzIUZ2MgEDcZOFdazUAwFll+7p7mhxbm4dZ2rfBIWNl4Mmbk
XdWIUcivRLf0Z6l7zaFx5LANWryC9TI5yLJyLExezOBct/D9O985oUqChCteAhvHXkSqsCbcIAPb
HIhbeu8uD5e4EvZbFBvJaQCDtq4C13u3IsmtUG8STtml8+YE2J/kXrRuSxDzhuGlB5lbxgl8WrxL
kmS4L9u2ukFtVH8iWu+ubSmTt7qODfRlcnTp3emzhiHEN9knhyq1LJ5t3rSLgzmAV0LRRdyc/WIy
Od0QjXcDhPWz6SNwMm/dzv58W6e9eI0z9yaqZtrRX9kZM7qpTmGNH4VJVLpH1jUgEoELuUUKZJk+
lcDComqs7rtqbh6DaPiiplee6W5yB1l2k+x1Gud3BJutg+8DNe+qsT9bQhQ3EW67L05tOFBYi/iL
dHGPVkeeZjjE/eD+ROTg1XHT8iMuy3qtS8N8KsYp3KoVB44elxUFuq1nLR8wnxrd8qUeRwdovxF/
caL+zkxNDlGsWICq+G6Q8Zq+Ld4zlhl5H25s8X0MrnWy8sh+jgZgGEMmPgYLKIuG+sDBRkX6WQ8z
TpEIFMyVXmDoVVxQdGFhd7fcObq1QtGBau3WU/E18OoYA6rAWzdGY+5Dn+rQZ4glDQOuycRrwFC3
9i7WsAhXvWPKCS0Ckr1WvVYNqV1ALcTbz7nVfNPboFkcfs2iGx7+xte6M1pMu3L95MQyu580u1io
auPLgjCrSvPQSHd65axfHUMziW4UsOzv9nhpV0C0v9sr9gv/1a7Ga2PVkJHMnb2eJeE2940IC3or
eY16S9t1KfoHIkjS18HUqqNrYn6peksj0zh3TDyRll7fN3FTH7O72ViSOK38quAettZnx2FApuCK
/lBt5DtJx/9Gf2ijnR1VmwKIqA7pkBeQgEOFhdCxj0PbnTdbpJG1xPyoPe7s0nSxPKk+Whyv35pF
QJ8gIApny9Dsh5NuuxJUo4oU2FNnn9WVuVwh6H8/anN2VE3X9rJw293we5bqICH+a2rQOn/MMqP5
ezNLe28aRnLf5anYlNB9Nk6FyrpqU0UItWFvVj6uVpB47mXTd2xw4f7B87LX/Zz2/At/T8EdbOfX
nXd7GafWCgJIk+1CXPmjUdMDdyNm8A6dI2Nt09tls28Qul1lvoww3FxeIeUV1Npqncvs5RXsqheb
PDCIO1md/+jOBkw7Y2y++9aPqkzGr05VWGs+hvye1LJzjDAI25rY7d5HRurgkSbFjZb7nCyNvnhz
9R52Tm12+3GpFk6D9HLqNUfVi5hDD5QpGk6THhdvTpd/9pPBPcPpLt7shKM8v6pjG/Fno2e8qpz1
6gMMH/JGkZ2cE83Pn2EO3at2xytLEBqQhmcclT7EUG0m3y3esH23b6sh/jU9yJEYi1FRP1tu9p/T
Q0AtH+5cXqYjwm7fhsI31yK3QGNYcbBOfaI9qTVxFvC65JPs3n1EjV7bRmoPYUYiPfeST50VeUdC
PC2eNlX6aeTUutWFBC3Fd7LyNVfuzCnAYc5qovPY4s4+og+9lxMWSVo49Zs2qpy3OXZ/VhnuFHX2
CDWZLfZCwoCvsUrc8uxZ9nhSTrvKj3dp4u8dOw7nH4ve301NjWfhkCcBENamOzRZ/ZSgTq3v4AS0
f1TxjukOWEU91Z1enqO0gWEY+PnGsm0UEJciz7vPGXIph6mvMQ6c2iS/N1AcXydCdFtVVeP0pSOf
TJKIjVVcFmjGZuNbGSi83ppexoAoQmLJdxwIazLkk7MBjbQEFBDcRpM7uxt5qL05bbZKnbR9ty1X
Pwajp63VrDA0u3XuYBOtevX3CXm/dwIt8SnPcFKD492ye0/yzSSD6ihj3d0Q1oy2fcYTHI2B3oXH
yAlM2JfLEqFuCSD3BH6IKElP9j+NZH6wFpmcDXtvb9UODc93NMrWRB+TV69NQWbhlfojlyD1Avd7
AgyBsLGYn60CG9pxtMNb24HPhlREfKMJOPdOU+JXNBNuJpuOPqLzdeAuTGowRNoS24TdGFTiAHfb
PcvYrzf+lJnvjencqxey42ifwoXEGo4HaaXPQA3KILlXV66sv2taJEgE/tVeN62PgT3u4jmhz/2o
ceDsdac/9a4cTuqqK5JfV2JwtFs9BirOgGvzv4bijj5cert+0VVxKwKTKWmztIvyvY+V1SVtNvAF
3dVm8q46qwUuUsarKfOyF5X8Epr9ha1Scae68A8oNib+FjvVyRYku6xVx752zEfSyVFqhg+Y2Dkb
jJqANsWw2VVbsFwRd7/RdJN0MS6Fl/Y6MOW+J3u7UiOuE7IYaSlfjDUozX8WiXPeihcj8rO8jGpX
s9Leszd+ih256vhjdV7Qvo8TvXrkKNG9ysK7i6ceJMhS84z8VdNj/6xqQpbfg3zR5Jjy/lXg6I7X
ZDWfnKVagWde1bY3AJ1gpo5ozdoM/f7Yybl/TftoWuf45B3UXCLeWEsm9rxXc0edG/Y0RPbu8h4M
FEaCHtcENdcjybXtLD3bqt4hDRygj4u/Xo0FZ5O7WCj2Q/UWuMl+1k3x2bU1d5MBfoA8FFUv8Acf
Lu2ocmxSzvMnfSzaJ882v6h2tU48SdQ5/XZ+cAu41307e5/Hzja427bNfRSn/tk1HZcwhIGGYJuP
GzliK1l70fAAC3N40BZ6fsNjctZ9IGe/2x3TiTYkLh12aIxQHaFjYFZRoMCyNIWVrvkIu073BWYl
t6ott9NkxR3T2dSHNgH8bbCLv6l9czqkJDZfhnJ+bJsBn6CWWOAkZP/iCsiIOASchqV2aYpQM2nQ
nFW1BL4aXubZcKuqU5AUN2EWTdsgBYPodZ27LRRzR4+CblUtl5jHb+2mj5YtDG3dwu4xwPVWmzaJ
AOEsOFxjTne5Px+LSmgfLbdUJ2dHztF6j8gof10gIj/a3N9jola+8pCQtyjELg67tKMR9G3C9UY3
np2hKKPN9BDVtXEbs82+teDJeB0RcpOb9soZxuap0Ap/H03JuBuTbHrJzfEboX/3W+JyH0Ev4VNZ
2dnWA3lxJJgePyCBi5yMm7rfvOLJ1cfua2ti8SsCNzv7BqAAKUG9aiK3b9FGkKuAfQ+3OaqqCNLB
vl0CM8D9l8Y/Ln3VanV1viU/jObj0t86Rrr2l6Mm2/s1hgTBifi17W0GocebWNPEpstbccbBu+PM
k/Briap631uWAF9DR+hIAKO9M0JS5Ga9V41ktLxLtxNFkE18t1+NKHVtOgO9E91y5ye8c53dYiyF
hdfU5tyNxx+YuzTYNCTzU+hz4ERk5axqagLZQ30zLkdVXau6nI1tt64z2TyoIQHPsMNcGu7KQg34
yVmK0ER8IyxS/6CqVh9m50jfw3h+gHJPWL95c1BfCFcQ55903vJHFKYpdklx+azDXbnRcywGKlRZ
DiKYowOnpfCc+TF+SMRenqOw1lb88NvPfZ39WtEkB/LPihLdrJ0/F/oNVqHm3jZSNC2aJnhHiPlH
41rNQwSTALtH/001T5ZOeCWf/Z23jKqEtXPM2HjhtD1j+m46fNe09+jjbkaw3EecqeR7kW/U/+Ps
NIyuxZEXOp0oK7jY2fhnFXdLbUUSyl3n04zR0mA3p0SDcLqdlst+sQJShTRqgXcIYyoEUNqVaryO
sVDu3TlVrq/jgrCjcgY2zGlftCSqEn6TKweM5uskMpM80AwPOCzDm6FpvbfWXf6Cyk8Yi/nncIh/
XmqANveS3d4msrvy01TnLbfWoDiEgRZvvCDot1oN7tr0cerKe55UwdDv+JMt3wtET7olcGtDgdmk
VYr9J0K0j04o0hXWZvOXDiQpT7A8ezTTNCN9GsJW/C3VqK6U4OJFlfHSw0GbXW6wvY7rkyFfx25u
rQu8+YauGB6mpchqjzh6WP3ocjRAVE21W2EMi7Se2Iuiv3wZ5mdNfV8572rUtbmd2OA4Zpnvrx11
RQArEQAY1Wrq9aTeG+BdrSL9Ug3hjc2t4ZzJEZ+rboqfCrA8a9MFhTo1ABiGqKw/G0b7hull/KOw
yIaaHXdd39gVnVFxBLTDo+lJTKU054c1Rda7X08REZx8fDGHdNwUVW0/9EjAbE2ZyLvOhFFiDvZC
6Bz6zRUv30djt/YqH4oeCTMyLEMk71S3hA+KM8zwQ3JA3NWEg5HiKVNs4srHuXPx0TGAcRVaRew9
NTF/w2iSbztujx14vHeYef+Ps/PakRvZ1vSrHOzrIYaewYM5c5HeZ1lVlW4IqaWm955PPx8jtbuk
6g01MH0RCMtsZRbJiLV+I6dHxFn2cVcHy6ru8x1PKWQX68hcBfMDVxZNExXBrR1bVVYtjBom+b/+
63//3//zx/Df/vf8jlCKn2f/lbXpXR5mTf0//7LFv/6ruHXvv/3Pv0xHY7dJftg1VFd3LM1UGf/j
y0MI6PB//qX9L8HOuPdwtP2aaOxuhoznkywsgbSirtR7P6+Gs2IZZr/Scm04a3l0qd2s2b/Plf1q
oT/zh0rsXnj8LlapQjwbnCc8UZIdCeRkJZutZunHCvMdvnJGQSZ4V8OLTrLV157zBO0dvNFt1GBn
ieTlVQ7k+gC1qszRNRMIdZldsm4bo3j1RSj2YkqalWyiNZgtK5FGp8Esitd2BaI6fY0NkkHJpCVL
OUmNu27lEgrdm1n4nInsMjVDdaeZXrFz/bxbaEYOfVx2ZqWArhZ4J9kipFrdVZoyrrPajVeiTKu7
3Om+/P53kd/7x99FIPMphKnpwnH0X3+XsUANhdBs87VBOQdMXX5fjFV33yv5szSFNzIwRdlk2Rtp
MR916ic5i9NEwmGaE4GvZd+LmTMjC6vTWjx94u9A86p7fnL6o7g9/DXLmiMlf3Wpvm2iyqu2y8KP
hk8JuhWTR7pAtsAGQ0YJPwVN0j5kk4DMyxxf8epLZJlERe7+4cswPv6RGoauaqarqYapwcMzf/0y
hspLG793rC+D562NWQ1bmwvOTy2bN2oWEkUeCIN/d5ZiCFYVSY6f+uTslhz/Mc4VE874vFq2ZS0Y
EAdWp5QQ4mQgENW0G2IYCRsBO75UQZLcim7IIlTPZQfkWFVFToFZsu1XLthwvzvKNbL/NoVE8DOq
JD66CLWmLnIrg5VgYFf6++/Jdj5+T5zVhK67htB0TRjqfLP/dDPrgEOnjiP116mqm41mtunGZA+9
J9ybPEd9fhVmpH7JREoiqrVC4v5BdA3cRFnIgUKYz2gQe4/QsqNDl7rjOh5K7Air5hGTVqw9pyR4
6Joo2d+awZxikXkWlcD1tlUiDHqCpIWr+teIzMWM6N7HPZZu75kZWdMVwzm/r5Wr3i/602TWy8+V
M977vQHYLxKLPBeAvByLbPSPDoz8/NYODOw++ba2ctSep7zPQ0gwuK1w5Yr34SRKM3vZG7r/D09b
XZ8fp7/e1q7haIalO3OQQRj2r79QrWo1uu+Q4DslLDd9qrq4LKGTJFyIp4RjOL9jIXeJvKo7FY2L
mEGXN69OrYdHI+my+9CKsnstwSU16V1zL/tuRQdDxg8KjFvnebIPEeCUGE/XbmWzHe3svi90QbA5
aTaj/HDPK0h+52W3hjrjIRcCnTs2jaxZDJWCfrURUy1hHhBKFvUydrTi5CYFfKGfqg3CzLto8u48
tYYVEGV8431i7XiG2adpKOPt0BvhNY8SfQ28tr+PeHKsMKyMn/yOUB7RDO+TUvRQ8YZJeUuC4Kui
AtJXdHFCl3t6grP2UJlas5sAkBEObuM7nZjwnazBKfrGBVCw/KsrbxCDjJr0k+lOg7gtKEofBmsK
fvZ9fdNBv/QIV4YKT618Fsab7LyMvxB+gsDtIEblq6WzNK0eP2Tdgh4912JnQtJeVuspdG+dsgkg
3zw0f1oxOXJ/CaY9nsOmydptAqDesvDjnSlGZU8SOEbpW6mNpSYCrBIQGzhhFeCdEqXpjsTlEQqg
Jfttv+Ks8VMV8Pca1frp8D4nd9ncrmTb1u2vkenXWy9v9qFaBM+B2hYrixzFKZ9McXHJoy+NOSnQ
prPxZmK98irON2RZzT3G5eSRvZa8bmWPNzqDZDAMno+VoYDyOhMexs4lHl0Dy5KDgJSja1+hi2B5
U7E0q3RcjGqETdg82Whc0tFZ+NkxnOY0ub16AVX6o8gyjHqICThbzvOTvqi7VL1EGvBF5O03cp6t
fVfHJrg6TSzOY4aF/eDZwWe3hx0TjxbHsq627pwBvTs3N8LPVZdD0PJEAo7IVB5Jx13MzvOeiV11
Czc6kEsbL4pXqf66w2OT9C9wO7csroYCvwLpXizG06k8yr4MzCuaoFpxJaLz3BdobFSc1P01R2EC
YGBgdyNizv66sNjcKhn4EblOLpE1N4ggHCX8a96vNQmE8xNulnUSJHyxERi8tTl5wcrhWLHWGp0d
Dur6F9gg+dHyKvtaO7p9HSNQh79/c8jtxC/PJcN2DFdYtnA13RRym/jTm8MqI9yNFbv4ophRtnSI
Cm3zssBbFCDTW2ehYIeu3adciPZIPBn9grlfRCglqoU1XZNJ8e58y/zWF/aITy3nF7YT9cHSB/Ul
KouF7A88I9wRDS02sqllWISC4HgiameczGCobpcttYINeaOml8kK0k2iaz3GC0m40YUveKbEzkuP
vFE8g2I/9Kf+0iza/LM/xmLdYwy0T9BdfAnV/AYwjtAqvfXjZt6+JMSTJdD3w/yMfgkYdkMlQsfh
GFYif5zzkqsiC82NbCpjk19hpe5i4l0Fwss6DO+gy/dRmxePGGSTYWnq7+OoaOvf/1rib+953iEO
iTCL38vSSWP8+hapytoQZDGDL13Q4gSt5S+TXXv3UVo6lz6v+kVjtf3b0AbgB3zXhq0stGc0cjZY
YvdvVjckW9Hq4dYy02ZdByBdDPAlR20uBJm1o2zKmuwLLJ1cjeMcIj3O7niPI+misuEq8UK+QywQ
u9iBm6Yv1eLkaWN/KjDLeG5G6xpU0XRFlCh/dnXrO/mO5ixbwRykbIqgPspm2ob9snKdfl/NK0uf
o5o/Gc5WjobgxtdGWtUb39XTQzBDzsBAtqdu5hPZs3Z8u2zqvj6B2gNqKXvk2PussteRERecFrIa
pak26r/xMLPn/F6q2+THiG0+8HwudnFUE0xJVEIYscpUI+7mqXXj7xwPcmbtjs7ZQcptWlhm7pzz
yrxUuTXuy3lAjsp+rbGdf/jh5Q/7822qE6O0NNUxVJPDmvZxg9cjRd31rm98HnW/WuV2AaLWUvpb
EfMHjxqJ+ymvInvDkSI626Ww79MJ4V0HgUXZIg+eXK3OBA7KEXg2lerWuWeGi6wGVzP2SJnJAq2o
7CIcnml+YypssvAcF6hOEWoZLh1bvf3v/6jNj5t83TJU/pwNFSasYRjah61RbFqlMLRI++xo3ksN
qfnc8JT5qRh61PngO2psUCZnkSIufQY10q/MzHPvylTPNzHHe4yU0CC1stw7lCK0DyoQml2XTNPZ
64ZqU2DNfAf9rF/0xtgci1AjFm8W9Q7QNSihZFoLL/X2Jvi9g6wVatTdatlftf80+t73Po/EWvwP
j+q/3fy65dq60ExhWO58eP9wGGJjMnFmH6vPUZp+z7Ir4XnvPESRfQlnLI/E51h6Gq9QPLJW732y
FrdCP2kYbN0WlGjULGQ1mmYQsVGOG3kBOVkOoGQzRz+840jSevwB9e5QGCiDMUBrRfTnG/xbVtWh
nqWaxmTdEwMFdwBhVAfQAzdMr6+O1DGZ+5yw1c63KaC+bk1jnuKjubJAa3ZEBrbO7qo6fdKFZR6k
2RBOxNmdr1rNzkJEFwIWTVnIuXka3+am4P3FwiqDducrw6aP9Bq6r2i1RTuUZ5Dy4nOgJtjTC8B4
REgcDrHWq9n47me7d5olzAXURbRe3FUJYqz6PIDYEOHgPMiuIGv8azF5iG7OA9nI3qXxRszArSA/
t4M6h4cYiKbixQQQ+fvbxJH3wS/PAJvTsAuw1XEEIETjY2QAycpEQ8v2sz2AHC/rkOAX7gLrSOmd
T6Xp9Surru1dMDeVHgy3ajTZWY7y6sa9l6jwWFjWU8bWSXaPNtgpXm5fUQN1PrUa+A+Rm+pSDro6
NiwetwrFPCry+6Dvn3AnKi9WaTlnyw/1ZYuy8ldg7jCqjPF1qgtQf7im7LPQL54qpXqREzolqxd2
Ozb3yD3Gx8CfknXiDcqXJlzICbmeuavCDcajV2QuPvEer/750vjpPbG/tZ/YxRi7wVBwI5PES5Ha
hP38nt8XmaOtqkX1/TgX0H9+9FWZWd3LAqmUn/vk5Pe1StTVt3nvfXqEUhJ7il+u9fH6pQMqiGOS
Tvb80XHUSwAn5C0xsBeKyyHb57XivPYRuvG189Y1cOiSTq1Qa/LsN6fEDhzKIhvTDlwJBiOInNEP
vRJqQp3Zd102oHmdQA113XLfFST+EApJuE0MH7to6P4R9LlqxMKkzfvgk5s3j0IH+6Ln9ScXgsB5
MhvxCJzNWPcu4m4hbsSPo1912NzhexQhXbFk4wLCfGivcu4w4eCVVIoHa5W5vkYyrMqnZCFHb0Xe
LE03mu4TDkQna9CMrf6XUIrUO/kgf/IusoKR9rTFivnuvUsu+LD+Q/PD5VoYfavS0u2FXCtlVt6v
l2I5dlALLI1yp1l3fW7cWYXWkODgY425Nsx9clQtXP1W+/28HM3wjauSY/NmjLst4e6y6ufes9Ha
5m2A2LR2ciVCXo6KebasFYMPOIV5MTmiyYAEMbEXA0WtRveyyL0GMQMvTJczmubW11jmtHeyGS48
z2vnQm1a+C2xfn1fGjmtctGndtlHo75G3ejZFO5476hTvdT6rt7KpiyGTGsXfSfSfdcU073s01Lg
wQqkJ9mS/cXo7nNRjOf3rtaK0M9vo7vMsJo7K/vuaaSK6wRHI0Kt4yu2Xt/JN/p3rqKZD4MWXJrR
GV6t0jZA06DehEPKz7P6mCcN1MrLmBbg8mEMLqPRSMtl4l88pM0eXFUZHms/4hRNynDrd9PwqJej
cZr5h8LtspL4JB5Q4FxACjK3yxUBGYWXkxY/6rwj0OUf7zkGFo/qkLZrW+v1tWyObhzeZ2O5lK3b
jLHUlqavK1sYy4TOfM7ICHs51cbwTOMY6h27vz7bYRPp7CzT7uu9HJBF0gP73LiWMWtZ9dVCzpYj
jaOeg6QoHzQX8eyysfpz7Ajt4rUAkgCRll8TBMhSZB1f8jTNthl6ijtLzYtnrL/u5YTPoe47h8Cp
lRA1OngdbmOeByEGYirjcIUCm14gAyxuMzR2MkclNk/vM+Q0v8hwUbMbkMmmKtgsV4LTcYA1+WAN
83eWVEfNR0Q+SGkmduPts6w31qg1lChrEqhwBi/9aiCgU8b28A2jIoDFWGo+dJOPPE7a2DsvUkee
vcK5TUm451zb+cMmqSzZFXdZlo573scpihUvLUwvTPoGBADr/Efhzs33viI1+RlnouUGhJu7CMjl
vmLVt5TKAWnloLunAsSMyty5BiqvZakYMI3Jg5OW+qno+ZanokfxGdXGz5OYKUuaMlxSlVCViZmI
bnJIBfm9LBqt/AxvCPRR4OZwadr2DWqunWTl5wmQ/9arp2Irm4l+KAYPeNgwlrtpNOuNXIwk5DKH
5/bSKwryTl48rmV/UIe7JtKs52JSu0PSm9ZKXkarnIuaEAbzsh7pgBbdycSyTdiC3vBmYmO8KB1p
UDSN9xi5f5b9mg92G3y3NDYYXuPhGMzT9UZRdy6GfWs5q1Ctq1nbpHxBQJ8Nu1BQ7OyHt9FqkAAo
FzF+a8s+FtazrbbOYmjq6bXx6xi3p3D8YkU+vPVK/2ZE2Y40iQ8IU/kzhxsZEai4lpzYgwVp7k2f
p9X32E/vlaEz7ic/zGBMW8NdBmx+CWHC28SxPmv7Kq23G/UmZ683BPXai5JFhX7i1bWUzFsYGgzB
iq90E2c+KvnRmx6oLiesslLOXq8p58FBByzWy6Pseu+XNbX3ev5RbDg/DJiBoawnPmxbDTYOXVN8
FUmIbI+peM9jZiQgml3lzs0L/54TjlgYUDjIxNJn+312sfTgnhTlKVKN/mgMmnlVG9+64hcSz7Js
a9klixSgDTYtQ3sgFUlktmXL4Kpa8NzHAG6BvsSgSNrwGaUO5xp3Jc8rBm0vHh5943tehuFzoerV
Sowpnkfu0JyHuSj0CHmHrNqpXtacVeFQzDU5KKeVplEsLUh8a9n3YV6ZDNhe2k+QdrRTpavTsXfT
EgOdOnqaBtLgPuCL7yG+GY3pfe+sIFx4SE+Rb/WntQ9i7LYIAl+5iRJtYQGVPjo6wrEajLQOwUqj
2ylmc3droipvnsYadZiFszbh2z03GQYGVcFtEllp9VxCFFxjDBZshW+Xz5mBnCVPdQe3GJp6aWIk
KnJEL+dm6DjOLkBLeimbou3KAxvM6NZEUdE9wksEfzRPTidbPeuF/y3Rn7x4Ur8ABf8jAqL5NtSl
t/Ary3lKKr1e5cIO7mH/5ZuoH9TzoJQDwetRPSQjP1JiF0is4OeztFW9vYNhG+9U/tvb2thcIOVZ
K78aNQ7Z3TdNC/o/uTWUKkn+jNjZLWKsET6V4RisqwKI8J8i09NVbCfcAWpku6e+1HfYLHIDFKb9
KSsz41B443g3t8qm4Jvyg+wZFHCyUDRjQsRUTZ8d3wQS7SvVQY66WobmIrr2QOIZ1buhR+XOnTay
SdY42vYE9NbTmKXP6FGZi7RV4pOb18FV17U/eRh2L2GQ5rsCns3aRpjyxc9djbBfoaLKwqjbBSc9
aPKHJuMJYvkI28zdTmlWR9jM8oHavTTo3a6LoVa3cpQ/FlTukyoBn8Ul+35VAVP6ZCKjd3V686fP
hRSYruUaox02OvaMttrVDziO5UCTSyy7Yju8+EgtrkSV1i/Ipb/ATOLvM+qXZLzdr2LyAGrNiyy4
J9shsLAKnxcFAqSWga3xyxQkt0W26JeiKsRXv08RqHCi+sGfPynVg58/CRBc/ZJV/out+Mr3tOx+
+iRYvbtJsRc8Sy1QonMyXqboZVGlzeYfDnlzrCOXyfpbVp70kG6qNoEzAEh/j/O0mVcEigqfwokC
A+HPNj7qVaZ/SvXobfKj+orwn/4pMGIQrHX1NJRsffrRW8lJcLGxNQZqfVsSNOMhMkEVyeYMmNyi
Qmfww3EJMSj9Cm0SYyeviEQkKIsiJvk0j45hdI2xoLnTOJUfiP6Elzz3sl2Q4LPAbg3hD2sKT76b
5Isg4kiZhwPs0nTAGSuxn+QMf3hB8617lOMBtiN8dnORrVDjVZSOanIY3eCTqF0bwRSD07hqb73K
UGYgoTjBLYUeNDdrJYt2cRxF4I1oukk5IK/pOjvZNBsbZmjR6MdAjI88iD/pws4enLjLHmKOHCAx
idB3BffC0o+4ecMsPcpRECPt+fe/oGb8LZxFhs91VYtYjQ1LyPoQzoocniZlLXpOeMO4JUA4GWQl
Jx6MXoo4VoOZdnRuLdU82lXGHxX/Voh2HglUe7TuvOyrrorooajy+KHExHovYqshPRZBLHfRElUR
Jt7Waqisx7zoXtWOF3ObGs3VrwVqK8W0TxS9e526ftpNFjDOAHG419JAeWMiBHaxTRxywIfflkMP
afai5tbp56sVLQxZV9jlucee5NMIPFsur4spPxRkhzHgYlo5wykyM61OKejTF/HjM123jo/Czcyl
nOVbCPppPB2P8hpoIpGsG1eKiIblQCTwTkdh7q7AfMHn8XZ573ItMDHGgGib7JOFhxXPxkRd97YU
OWftZJb2i4qJ7snHX3GXGyl6b3Ptve8/1X4/z4ncH9dz/6p9uEocutYW6DQ5RPW+7hRvGwVhuOSA
Ns2ntOleS4NkY7Vdvnrv87V2WnWtZqzlMjnQmXq5NFOn2773OZZAMG3Uy43VT9/AgSOPWWsWd56v
7i2DMNZk9ShV16F4QP89X9pZ0L7pnfUEfiwAhKOs6YDApIryYpRd/fn3f99/S2QbBmcEABk2LHTC
tnL8p4RRZnPICfUmeEOoJowPtrOrjewJglfz3Rbt1hpr7bPqC2sZ6I5xLdHU31fBZG8h++enHPX7
RQ5wcAHCij/yuVCQ9V/ZMUhQ2dTr5vL7/2XjY9bEcFzLMQhu2oYwhWl9CJzZmuqHAVmpz9M4rCJ3
qoE+UJhJgeez4zQ7jsnxole9H33q4GDxjZ/dQk/N7s3J6iPUPuDmGhQr0giQp9K0f/PB6y9SK1XP
PZphj8qYXu1U7d+Kih9Ix1JmlwYraNOFn+nnsakIbQ4m/tp5wkvedoWGbSIjsiYLOZEMfI9vVZj/
AwTBEB8eTPzDhWMjomw7JngaECq/Jo9g0YMwyGb7AZsHppWU+Yn8jD8beVN15iLV/fzkFXDOCWDv
P/TLppzxPlf2JVaOVmti4vU3X+TDvPfm+9rchbgDqylCE9bsHwzEzY+B5b5BHCAGUpsjBg2Ob22E
WTM6T4EJuhxgzt/JLtBaw54n6YQ2LYPyIr2KjVMtQnOHHN3woBZlj5jGnRXlXFLp+Nv0qxbVlnmB
vIjilcECWIB/lBeBYTZeYqzj5KBVt/HaK3pTJkqOCTFCtpyk5+O5kLWmNvMFMsvt+sNAlqLVvpAT
bW6Vpa4hJFu1hYOcXjwtAyPsnpzEHi98IQ9t2qHuNRfl8AZjKn68jduERtkk1yc5BjhDz7LmlCd4
3thlg5arH2h4NhjqKdHKHzXZJ4t4Hv0wWfbJ0boxnb3lo07TT35xVN2W4MOY3FtaURAX/3chByeB
4P0mN8fiKNvvw2qEpDFJg4EkrYvfrjIpG2N+82pzoYLLiLQ2vYj5PQw8JD5PTXbtb69hQPIbzFpb
8u/z6OzmgwRnRiYRtIC8SFem6r3VbuSYnBWmU7VHdXVkozK/y//Tp2rduA8988enRumgLsVgAUVI
pwkFXQwaEyT33mqQLLDSCvcKcVNcZbPXR+VN74niGwgwnLpBz65p1nzBX9i4oCpvXmTN9kxOgLhk
2GVhckycAJfIgYhzPjYSdbmWzfdCrqjQdX3vUkk+LFotRial6ZUzABfE2PRMbALVVs6y770IbD9Y
+kWYHIgex0c0vHAAnGuyqBVvzBeyStYq2aCNeo3aIDlFfoYCliiyteBnWFVRUa1TZDZQlUAPmiDX
APGt/dMvc/Qz+i57rBvi1v2oq+tbs27bexfbIN0wvXxpZRWhl7Lo8KNjcuD27SWLphPBn+Tsk8ND
9tQSC68xjZdh0O11a9XTVjZzzAEX5jTG1zKo/U8VOxbNTcyXZBo7CMu/rLK7uxSSDNvNJiIuoNdf
uZsPI6C1F8/Oq23ec/zJ86BA0TJ8kBNQehsXTuDZd0PodkeryJEQHtziK2jQ+QKiUMQqAxB0RFhI
v2tHc1rIASBQ90RKmufO8wvUZRCUjTPQ66HQD3KCVaJJrRB06QR+qsUyTj2ze+pdDq0eGm2cnKvN
TML5MqwQTgQ8FENgY8ts7LxQNz+ZNZCjeTgSMWhum/NK2lf2WgTWcJjBxfC+kJ5TAuVYSsW5QV1l
DuJZkpjhF/E+qIsUXq7bHIfc/0HY0IfuG/mE4h4PtPFSlSXpKSCYb7U5rbWwUa7oLYwPo0tcqQBD
uoszfXjQUVm8b82THJM9leYUoG4CeymbxC7uTdO0D3gqBvs6NIxNrGr565jVG/ld2EPbLYNmqi9p
UpLCGy3r9vUixLzKsjx70wxualx51P0QDOWjheGTXJlpMRJohQUnoQaAo5i+u3aHMfgMV+P2Q+ge
Inu9QKPTwKvjqiZltrQrhBGUDsnLzETbtC7hyUFuLd1bZZQVnIRulb+GRvX/Z87fP4LrZHVbzduC
949QfN36h9ey/ve3Ms5Uhgp403QM2/34VrYsv3FTux2eTXMS1zhpr9h3lG9aiz9mh0bLVjYzZDvs
SidgVpEZXPYtIcixX3m5r3QxX49TLDME8SAJKhGQ+H/XFNNx2WWM0VbWbqOl/Q+pSWRKfj22zjsr
0pK2g0EuECLj45mHs0NdFmCon8yqR3gT1V21MrSdYyLGKWvvfe5/6JPz3PyKa+hiVFKyUmjGJPuQ
4PShm0oij4nrHTq92I/ZFBlbbfCczdjy5rm1cafZoGeMJsqQvHVtk6yMunIOpYugqFU/Ro6SsCuz
s30YhCmPZ5rR2H3DfVG7g8pkQPoLv8lZRADStSFwMpPNyntygLS8FMAFN10tKvuSDFmJ1lxYvOgt
+486aPB/nJthka98w6ue/HQy77n/2PPNAJ3RwXkpd3HcDDjpidhLtgFKTteeLO/J8YaNbI1x615l
rWqFisoYfnqxg/z0QnYqdvqGgpa3f58s1xOl2qjz0ttcuTZpeRvLzm7AdTz0DViyhuZt/VAt2av0
xQshYAckQJEc5L8kct0HMpcmwduwe+6ajAgv/yIbv4IlnPIBxa3Msd6KNPwSRFP6RzhFb2aVm2z7
B48/UAGyEXPIp3lCyHviObRKHnW9C9h63i7dqnIPpY8xv6w2tvXSNPifeN9YVVpbeMv3rRQKpXgu
wI7bTq2ZbkQ4lXv24+KJNPG9YYTGl8LyYhQTfeNiGEFx8cual9A80AbTpeDGenbVzN87YdVtyp4H
Th39IcdJPQfrKcGS3mzU2ZvB69cG2/9LkrCv6DW3+KK70Qssrw5ZP906kMhVVrKfb30ZYQ/8Omup
bvvWqbdO4SqvAeI1ckKCf9Ra743qgL569JSFBGjmC6q+WS3FOIkz7GHjWhcdKZl5oPVI+KJkpdzr
Xu0dpzQtV3ZquXdRD8MFXdJPdZXXyJcV/rPF2aDwtfGlc5ziNFYm+kljNr5A8wg3TWhkIPIZDQuE
VRWsny5ytILz5JjZCypLw6XCNoEjCbPicJq2o68ghtSG00sTtfFSxf7mKBc5rr9ukW57UupeuXMy
nGTlB8N72Ttu0K3kIkwXk1XjCXuPpFl9riK0WaZxAthRz6emMDKe35v4RP1oloVXHQkt/dyUo2FF
yEGubWZ3pbD0Cemm5B5dk8S/FXiH0O+sH1Vefd3sT116Bw0at7L+25hcoXjW2ohtFUzIPs48z3ot
h7pCsgPBOQCYhOxjEjSdbu+TfJam8woVXyknOhajZz3Gk3i49SeuTdQNhKxoBu+e3fR32V+zJVmm
NYIAkJaSu7QpmkUwQ02UEbuWNBDm1Z7K/gL+Ez+ICFndrgVYgzjv2ska53Cr4lfjHGTbIxmzxXYT
jRxesojhmOdsRMayLrHqufWVpX0O1Uk5/ASumft87X4Equ3xsGD7Csqti8KvVe8/OJEXfu/6cotT
cR4sivRrikF4tCjaKydjK1jkcYSihT99r0fvalei/4r7zrepyrU3fTIHVMEQuBsIey9QiUdm13Mc
JAUTThAQ2FzeQ6qHnmYnCHLNVTlJ1mqjwStKiHQp+5QKysxCCbhGKq9BBiHcot/5pxx+Xyd6rMeC
YMrXnZcOCxeZc7imsb9W7NK8cMZVYbNq2j5zo/YMbguZOCuoH5WAvbKYqu4zSnFXzwetuFBWftZ1
N3ZTOJOaJLNJsph8P9WOwQTyZ+Y/NSPWFLaR5ouuGhwAaBQE+6A/FHjWuX7ERgQyq87l71BQ6w5+
UL9qsz+bLNyZSdz66RmDeOUou+RUO0AU0kPndPU+1wlwHtSsYJdElbXS9dG/6mkz4V5ljzjTJea5
idRurbt59oQvlg731vC/GgMQmJo99KKLi1WMrM8f+RDPCnya+eyGiB/KK1W+9uNK+WzQatiKvrWV
yjoT2sqtMDiLuZGwDT2n/ZQg7NaX4aZ2lNkXgREnMSN4iPhzLkFCEjWJmh2V9DTMtUgr05NfVM0u
x4HwVgv+6vswmvt1v1ah8oMOUA8usVFYJXM1sFX1oFgUsikLyxCZvb5NQtnQ0jHaYKqIbW2Za0V4
1yG9mQgjeQHyox+E2dYr3YbqjF4GymAB0QHoaumdSAx8WOcB9NCKVe+24lD6gfupStplYpsDHilA
/7O+GzeyCe5rj5Oc9YS3T0S6GAJYgvp2i58rXzW77zysvc+YtofLNJ8FyhSj2mRJmJ2Q5QXLjOzu
tpz87l5zp3EZBLDX1YTkgzFHmPw51tT0obkXWfXy3iVrouzNVTi7GaoY/mhxKk44kgsO/fDmUJqz
lvrclH2ymAp2Lgs4h1hECsT5UAy6rwiALTXyYQjpFkgpyPY0t4faB8Uk27zF/9320+rFVDM0vzL1
VQU/nFZq9icHREQ7M4vzEkCDIDbtB7DC9iYQRXi0ndQ/t2JOOClN9dzmGeoXKPt+b78mSZz/melg
SKtKF88Kjz2AA0lz9vtKP+ROGm+Tsi0fOHUi8ZGWydcOw025SuuKqz/ytAK45y15tG5/H/nTrV9p
N2QJTdfRVcLCrmUZKn9Ov8a8iFEGnVAL7w8rn+UPJsM/psT64Hb8qdd+/TWNp/Wr1SJzHWGwvozD
86hjjafV0IoVSwuvrT7scULC8q/0DHZk+SWMqnrfuivDKcJtWuTBQ5A9JHFzzQ3fPKiKZRyIFmDo
khfJMuxaEDAmZANOTeYqV0dUv/4fY2e2HDeyZdlfact33IZjhlnfegAQiAgEg7MoiS8wDSRGxzx/
fS8ws7oqlWWZbSaDUaTEKQD34+fsvfZSqiwdfDoctDA+w/GzMBQjGFb4bfTthiO2CtrJeodVZEiJ
tRCRtYtvbBVXEEDpL5oArlXpX/I3lLP6/VZ/IozORekDwVhjvklylFPdqCIWR9mNnxR3I6goYYCJ
1948MU2VPsZK5WLnTzQ9oHprc39nriRxxRM2mwyK9EVRbUbuEFK9ipzWUKJMDeaYfConLf3YFHWI
hUsN57jUw838MRpadZ5otRxs+uO+Ccg0pAO++HbXUHub4znesvKEFxetzIZuqDBrD0Qvhk4y1JSM
b7mvmfEUJgxn2XqLmm1PM9DoXCG9cU3Z87H3whTRCvuAjkk5ILxrwlV3NK9IZ0b3xdAGKkA2kh9g
ySiz9q2oQfZNVtUeqiSuPEVpZSATrXnMUQMiKdCuQKy164DHqRDZSCJD6kO4WSIEx+6FBEPA5z0G
KWaG6VOBadIvF42WI7luiBDb7gyHL4CHyTA/H84bHHtgDY1nLXQM8m38IdVWv0E+8z1J9aOdUjNZ
bZ1XXjytbUQ3PBkSeSN142XJLT1KBtUOChN8L1VL4ufCHciOtHpmLM+c6uQNZn5507JIrynQ1xFH
RpfHzVNqNM+mOcjIzBhVx8aF9vUdWCzrC2vvOXUIdyd33Emra61b+edOKY/CnmdCrbLerxlHPhiI
6abO8MrURv3QpATAkaCHUzb3pmkarqMVbcggDjvNMyTU9zqWznZNawQqis1UHGvWTROTMqviyArt
xTCjps1fahnP13ilKVvAzHBEF5/GVXtwOI96LMnOGWwpUGhteRJ5N95+XDQbcuLSVkTwpR2iq1bV
L/raI5XT7ZuGaezdjBIlWK0UfL9NDC1iW3+ON29Qr0nrmC/YDz0nTS8tXexIkcpyXt3pq8Q/fjW0
BW20zsuoI3D1NZ1gYU70iBvRTwZTByAh3hztuFDJBlKz/UzRf6hze9Ayje1lXZarWsn7AU8e6fTo
azHJg8dY9SEoqpEgdJkeaFi4xzKx6wCIcmAtyTdL06d/WNbEn4/brGqmMG0TuyddAyJgflUCQyKr
bLdzq5/IjrTP9YqeiuwYe1Iw5Ay2wqEL0zIMqUMT51jrJ7N5JzfDPqbsaOSkFMSnF0VUMGUfs2nF
Ncyz/Q8r758H2XyLtkE3ALmy0JhE2MYvThWhamUn2yZ/W0iGAulN5uCs1g9tKWoya9f5pNmkqDT0
gfyGs2NYit7TZ5RWHxjhZoPKka9AxfUy1IXVhwxcOLZkg3yo1co9qFuqhdu+1lbFnPmuVeoHQ5pk
ANXp52FV/+k3/ucuzcdvHOG1MJHfYwr5i32TXqZbFzjbfkqAZhHMReuCYicgRz4nlKmEh0VYS+xV
+F092rUxyeclkeaag/PQdPy//+W64k/tlo/vhlx2ELmuKxg2/+rdXxD5axMLyk+XUwjck7EjwLt+
m5x0Ny2tQ7AZbuFZOaQWZ3HedaX4MQ7DcjPO7nauDefYqjZnFtqGJ2rDJYqVFMHZkNmhSFu48hs0
yXFKv6ABU2/7Lb0telsg7piyqxy18jiSxGEePtofRFV+Vuos9rQmf87G9oldzD0kzSxJNCvNY6fq
n7OSoMfcgNpmWAXUuH3AkI/uyK8LCNHYWupBJNNZyl7zU1Od/DURHVldNjai/a+dZZWHfrYvCdYv
ch+kJxfSIAF1vrtDlh7NbPiqVRtoxaZ+rB3DjbRERHOmPMEGy18KnlpPOO53WQML1NdRvaDLMU5V
wgZSK2V+NGOtu/CkdLuueRzfzdW4Yz3ABdeVh3WGH9vFxXijqcOAptYltEFtLkM7DtdSEsdsJfXo
wysuvEJ1MvpE4p7wBIX5TUZSab9u73//+ou/VDXciYzwTJ58Q7Nt55eqpoaUardmUv2sbHW5nzq3
IV4rNmafuc5Tn2ocixq66tp+dzZtnT6YrAV//z1of7kH99kvGhVuRJ2R6q9zYKHY/YKddfsp6vIH
qW7DDeqNErqcTFCpQor5GE5rRXdF6HHkBJac01UsB1rayJ/n2gkzU/tOMMF4XQjLBQ2zKpcSpkC+
Vmowz5N2s83Egv79ty1+aVV+LEzEDBiuowl3n4X+Is8QBcdJdE32z6zj5lML85s7zlpA8CCQkDhp
z5VtIZHZhhczPdC8PwNP119rZzmzdWNWJYeQIqSZb5Wp8ei+ulFvr6WXO2QTEGbgC14zSmFHPGet
UA9rWp/gQ6nB0CcX4cCeiIkwtHoZkJ9inZdk6wM6p85xduj1zUMJZ0WSF0o40475Lj/HylKF9gyN
OWVWfWmRjx7aOIbEkmTTjW2tzHMYI2PFJZJ0rPPea/P1e2Uw20xxRPqFso6HNVnssDadlHNoPQV9
PrW4IVc3TEY9TGuze9DnQeKdL+3DQm5XGBtGTkXiUq2ayUx3bxvwu+lt0BnJ4McNhaubf8MYmPbt
d8UwzCsruxkoCvG9wiE4tMWm7tl5ttILi5+xyrnn2cjeR+o+XEsftfOynkHwNqemH1AT03U5UjGI
CIZuBjT4h6oT6wsgRO8mcrXqIT1b+6zN4LhN+mVGwmRqnPs5WQ4zCDO2ALN6cqGyn9xpfDNBKUqK
Gk2cBIa4+6anUr1DgMT5TkU3G8Xrjas1xSltZ+Gtk5FtdEsq32xLfyX6/F63FWJlW1iWs+qmlcfk
QnnIqi+VgYCBJAohL+RtUhtWIkjmd2Dj8qmvDetkTP3mD7SgVVPcA7jfY45wE9bb0P/DNvCLIej3
W9kA+2DTfnfB7v1iCBvV2OW5tOOfVpelVFNT5RW24oYFCqRQqNnI0Hmabi3LnG6NRJDvmSeXusTa
TvEQLsb0NO2BgzgXnyUvyt8/aX9dIKgAXNNFcCAszf4LYEbX5m0rlrl4m7PxDtmweBIucvcOhbEf
s24H69iV9wM0NHQSky+0FUeacIQ/mJQwik6qd9+L+nVxRhS0ha0jgsynJ3t+dmvn+5qszXPCzP+f
xCLur3srtYquMYnRdcc1ePL+fGK0RNbLnsiCNyUBfLOBVJxr+9NQ5mxc4EtDa9EWL1Xi+oxnh/EQ
stgnaMP3dulGlbDM88dhalL1q9Iv6PWqszaTllWPnHcE+RRegrrSHub+qovmnNM4PAon2UEcGGsg
prlRN2+qp8f9kWigHytKsa964SBcGbprLuPuSG+4eJZTR9uM1WcYl89//8r9omD7uK8cg8Obo5oa
Wlf3F73MJkeIAEuRvzlS6w9uYSXsJzG279550LOmuFiLsA54pd5WhaCocYmUtTcvcukOuJcAEM/p
VV/U7saUaQPfWnyxCa6/1x3lTGLhpAzGC2Zf0iAxawSoFzOv7cvJp6kC0yNP2tutil9HdWRRizlU
4XP9FOPruXQjLPK//1m5f/7yeqP/YQvVHG5SS1i/PETdLM3eSarqrTRNNUBJO9/iBnYJ2p4S+5xR
9NzJrAjQyVRXd0uejCF9j9tN8wtVM8PScJPrx6V2ae1C7gFiYKKsxG6Vj2PxwFIVnxun/0oE83Kj
0O51BnnIlO6WQOUFAAPtUdyNtwbf270BcCjj3jq5RkKmfakY9wvjvtui+prZZyI1StIsyXGAh1O5
umc2DnZXVf/UWuMhZkavF4a4EEqOln+YVEi7pISN6GYq7PGNzV5C3+sUJ3nqj4SGeH1S7cMPjljb
oykrbzUshVATCQIEg84dOIPqZtipR4l0WyLsAYKjpeEbM0flRVnLNmBEcYd+sb7Vludh2LITR86E
Pr2FqVtWDSnDU+kjBNf8Tf9EgYLEs5/fRmu8uG1Hlg+rNTBwj6FicVdS1HkbgtZDTuKJJ3cOv2V2
RBW31S0VpHtxrDq7MMSqvaEwzJNI4yVanfV9yUaNqUMlonhPdI216i0dWxAO9DE9QgOWm4aUjrgl
l3KA7bewFIYmZQoWORoeKtCavRVqmHsHbppsj+iZyzJ1QMXy8sUyOjIt9wRezaHnhmYIb4y49Ona
X43pnQH9cFdSPXjgMc6w3uajEXfFC0L/KO7oEdfrd6dUkhsOPW24JFC9O6R1Xr5CHaI3rl7M/YJD
2iOhtblJ4uY77J23Dh/4SdTmLWBn49EYx+VkQ1Od4dLeaRmSysWUP6qxuxoWVPrBSe5ncrbugaX6
vZCPJEfU73bCXmjd0tu3P1dis7yV0cOlUrXbxRTa0yrS4+o0xf3MiQfm2TqcWJbob8/pTIRQipMW
vd7Jymj9gydlM26ke8jZyi8o3tdrMtKq2hy3v0/IP/uH+tL+S41rW8LUTc6PtivQG/6yDk8kU3LX
GeObRXyMX6QrZY/El+W4I2soJcOd47TckH2okeXeeHkCyMMSSZASzHi0su2HXDLzWBYA53MT8Pgr
XQ/bA5Plnot871BRx7P/3ZAQiRkEFB5LXHLFm+EVVjWT/hJbnqZjk07m1QlEsoLvl/N6o/avRVmd
dESfjyACagIEq/EKvcoM81q8f9BgcI0cyS7Rz+bCDAh8WfFV9lMZYB1jFxlTDuZ8rVlmZognRjti
HsAbmmT1ZQaqVex5n1XfjU9jrgl/m54lky+4a0t+UCvQQOlWvS0OSiNrmYZjEjNQKvZbOO6y2ymf
1mtmmffD1nS/n+r/95+ocf0HRe5HDVYMMdjwy1//47mW/Pk/+//5f//mz//jP67ZDyaS9fvwt//q
+FbffpNv/a//6E+fma/+x3cXfBu+/ekvh2rIhvVhfOvWx7d+LIf/pN/t//L/94P/6+3jszyvzdu/
f/v2U2ZVkPVDl/0YfvvjQ7sun6arZv63jWX/Cn98eP8R/v3bM377t75/e/sf/tfbt37492+KI/6F
rN9WbVzuuolJkMIDVuD+IVf9l869DtiDGp+G5b5HVXU3pHxl61+Ws+tsDU1FtSl2ZUVPcun+IeNf
Lo0Ilw6QYzoUgMZv//kb+IP/9/tL9z/zADm7/bnyMakkXdcSdBOEbqmu6/zyxNkr2noCDapzSmfN
35auieC2N9HMCOw8qC9ja3ZRrWuN6m8q0w2FQAi/39/58ZGPiyLXqfQGMf/xzkVJ+//24Y8PfLyv
GqfCX8YyJgoIBSriiaifkjpSE1zuv//99zcd2uBaSS+0smLrVKLxBIstI1vIKvp46+MyZnQ0vHHM
V9iaBPc5ehUJGC3shPubc0xy7+HjzXb/KoWRS7TpekMxbypdaLXZGKWzcm5ZTn1tSYqD4RQvZHW1
XivZoUzM5gMWKr04LLTUI0qKcvI2Ahp23Z442FZ1yTbRerJv1wDoNv0OVwuLNPlGzA1b69J86oQO
oKWwfxAAZ6jMPKz0FqIZQ9xFCSFbxFj3aUzLcTcVNuXdoE73s5EWhxICg78K6L8QEoMMPBOCOgKS
0Z8fxi4/EmmSYUtFcYCm7zIMdugiEAqIdfnS0ERdlyQPKXoFjuntaidldlH08WEp+2NmDKZvHJd2
20Jt/lSkUxpKs/FGcm4gqjYhgovPHOufeyBwB9xxJJ+Xmi+rxfaFlEybs8LvbQunvNIg13WfHDzj
xFMCVt+E86WC6dQ03XIwY0LcV9W9WSfIeUI6ykld6/yQ9T2t+NEV4dyxIyu4l3BC57W6fVLSx3nI
GdVVhwqlgre7QdtYFUGhT4IZwjgHtotjMt1ab3ZIIR/t+UZLzCfJYeSkZp2nOdldEY9GCANF8ZIM
jyUh7YGGRcHLU+dq9M1yMgzxrkBACqpMc6O2bO6htbfQVSNz6uzDCpPLXy2O+qptQLPF4JusmhFU
gkibRtkebbfvwrSvDgpD+mNWupdkoBO4dJn0RpJQtKxJ/KKGn8rhpqXFYH2f989irdciX75UcTuc
cM1h6ne21yzWslBgm/h4ULanvqyBz2vLPbqMysvMBEwoegHfSI0fyWCt3qRjgy1tbps4b4AuVNpx
ld2xH2PqLs2KBJPJTpaur6gzpmrydpY25izcIlCmD3+QnPWXdHAR4CPiSWiBO4PVReqUhSajlI39
CuHUckP0iAziB1crziZNjMqZJhR65pOWTd9LmDDButUPw6BW6KvRNY4En7GshU1H5x8ifSAKenxx
gz5HYYhqZ/1j1c1jsC6Zz0kDtrNpBrnS8yAOp8oCFpGPpTgstUkqNDBqJSme6SRWFM7iom6n1jB+
ZtrY+rJgoGXV+CyHhEO6oabeQksbeE/9nbuj8pJxzg5qZjE1SYBbV+2K79hlY19deix2kGXdl8kc
YeyXxI9aNUqSxouLyrgIFQTFsM4IOgGI1OzjjonNvtrbOxoO0F5Jjtnmnkpa2+gTu6Olli59j+ah
hoDbrCtgNSAinaFrh3X/xtoKMhmtU9qzadKfpfEshfVa2DE5TzTDaHq18pVINOFX2As9N55wpYbz
FTT122hiU6BM3ng54ipgalMHXdF/LrnNTrZOwFgyMwTZRuyDlXqJ3ZTGoyQnyb1yMuflkZ47oZfD
WnOklONUhlknoPebH92OLhtJ1T/b9cxk+EuRjKYvGj0/sYAcy53kzkQbk3h1hzN28+pWHnEXKcfU
toYgVimZoA3qC3SdUTV+liZrKpjdMVvulykbbtfSWP2p6xLM30/x4iYvvY2PqVmz5bQJEiW5x1QQ
heFWroiyNaIpiGpbjxMxhluHsdAtSKya1B/0EitPqsk38s66zAAEVxDN3FWUZeUUxOkjkYvKUUtZ
OScVqQ7DS6LODknfcDemOt71mEkBfkvOpjwHGSiRJUk4HuHVxNpZ4iYFw61UdkJQuV0ftrk9W8NO
TYxLElbaOb6kGlNvqkhzJj99mp03Y2F5may1PK0wrvzmPELufy2RGjYxOxUmxi+m8a5IuupCMSef
uPhzXGeJXzfvoOa0qIhx0SJ9O2EkeF5knHuLAlGzIuU+yMvUuoeE5ucMpPpCic+bYN0cf0I03E7x
pr/AI5iCpRCKV8AnCDBIasS62xOBKl7SGAK4/Hq27UcOOD5UD8jGQvT+bBYVt7BCxBEoM3g7crrZ
8u9bo/N59AHmdO5LS3udpvZV73J6boJhVjvqK7LClOyRvPq+uPO3ZQ1R/EmU/8udxF8XwBqO8rQF
I+aSFCtIvKyK8mxr8deuVuezk0JfnlNxjiVNe1MzfIOzoV/qW3lSyjU+dmV6mk0ANG6yyXsF3ban
moYXQ1g7SLvu6SBbY5AOXeQuF3pDjMtJiQu6NH9Yl3zy+xdOXElIPi3iiQ1U0ayvR8zRTDhMcKa9
6VK2I+8hG6rY9O6uSlH3MhR4biV7ETzo+FiSGI4imkVjLt7NZNo58qic1p7yP6clce4/TwaoYIrs
ZmxYaNaVpAkUKaph+k07BqVh7/VL9V65luK7ZtdhyGoRoLOpJP0KRWh77iworYWFlAz3mEfZgJ1D
6MZjIjJoPhumwJR8LfSImdUkoam3L7T4reOqWreEQk99uRyVXiUzoiP/a2q3g44O2Edxlx0tZBuK
Yp5cc9dJ11q4ly8cQmOmFPKSC/XWrkxC2bMvOJrWqG2a5dgV6S7NmX6/MOaKih4Kpq09MkUIFKNo
mcbSJmWQuLAO1H2Qt5on27k+Q3dXo3q/6Kn2KtnSA9VxrstY2QezYFHfipLwzYY7L3Vfp1TKA4mR
pwWI3TFO1IW1jqYHeYvmszpVlZfG61cSznMoUi5OwRSnFFZn7UD+97cmy0mlNqi+pkLRqTKlfFSL
fApXcGZJTpcqa8xT62B0tOs2jN2f8coZCRtr72WuYK48O45HPXEC0vCdNb8PAa8CnprMMGlZ+i3F
0H1rdlO/sAz2LLdcva51SN9ec27T1Qedh1/e7B8qOkIxiYPnwesIOdl8dV+/Ae0CEtOWGt7l1IZt
3wE0yCigCw3oARafgQARW2cGTVVd6I9WbiaBAp+RTaJpI/IdaLTxNXv4/ZEc6lniBR85zJrzXab2
ga2X4lTs9axaVc+kt1soSLLr7GZLZCM+Oy49TXsrNcN5Se8WvZ6j1dA6H/96C5K0xIHeNv4eZBkZ
iGtDrXToxwzbWc+e1vQlQb0ZqIg2/I9vx3KRxRU0lm1XMp+d4tYT+G5TrKpR3ml+Bacwqlbm9VIR
1ISuVobA6Z9hTfPTrlTS4bgo180tzDNTw5l1z/DqvXZPGiBFYF6LA9S3t9ZUhkMBzencWpXf2m2O
TELEHqlBeCyzCVVH1tsBWNKGjWFso1TX2kjGr0YffwLs1Ie9IZOAh0TVnUc56N1pTtUXXWNqTFDn
lGp1NPclI9l1lDTIjV3CNh42ehjh0FlfnF1j1lf2HKRo0+m6JVtUq6p1sB35KrOuP6IUjjZl7CNk
VsoguaWS6rWdnmTu0NxmvUhJOqrAlh5rrYzcVv+0EItbkEedtYrmg1rbM1j0wtNz6xtkSXDKu5KV
lj5hm2vcBsi2qM15nERSvmwuyZmw0Xy6bl+oA9PQ1fIb0sPQzNQqVMzpbSpi4BYV0rliJmcyfR+W
8iLGGqaA+tw4mn5OBn2NjP0QYdRKmFq96ZdO0/ljvQLQrFXbr9y6Be73bBpjcqhUajC1aeygWooH
pUW+jb7xYDpqe1KI1Inisu59ij5G9lW/nqX72K2WHTX7ZU5+lLaDbDEGNAkK6wXGny6xzAv3mBbJ
CRlF7SsJCgViXvqjzsHNmFM9tMvmKxWF65mSxcZGAIWfxmtJHvI6uTlBslRQI4wmtEhSaFZcd1n7
BFuuPNajPV0U2nEryoXzOp7srUQgmw3fqB5e8CBmPFb9xXQX3x1zI5QFKIx0jTT8Fx7hW20wpqDl
xtU8ZnAyTr05LoeKdFmUsQBeFGJ+z0BqMsVaDiVr+e8PtTHLB63VKt9dXAZ++12odUobWUYN57jE
lxYntQjt6dXOW273hp6SVJXOT8byplwGlg5LcVlWNGyDcuHpdvJK4USYnOJBo+BbM+fUuUkgR5kd
OVlds3jOovVemugWmc+B4dGT53pNrHDIh/QyQr7ABbmXfDk6SiuXoZvaLwlyUD+1Nxa8lZvEbC+E
0ecRnhr6mHztEcrqMK45eRScmevehVshqBeE3v9+m6MvqjwWnuLgwinLtNe0aGqfaLQb2lEXrCDj
Qe+2S8kww5zx8GREOSJ42syoQ3sU2OZC1MZMCFY5nVPjVVbEuhAIQR608y7HkRim/aKqKRVYbOoP
8Ha5R/ezKybhPy5lM75MdQ/ETzH/eBc6gT0BemoOH5fYsvfObIJSSdU+ivTDposHNtI+Em0yRCh9
xEEZ2m+mvhFlCf3MX4DVcGOaQyAJ+okyyxijcksd8sGsGhtw4VvSGMIUwADOhHYKh88Zi1FEuqUR
Za00f3+rmC2UsYiFK/Yhhm6kpR2SSmXgr4w1NQkZeWDrx1PfGgcyZDhWGu29WyUpAcStfdpa4vVa
142m/WP/dfl4X5mXxHooS3Nw93/SMhONkDw9MluyQ4SqRaRnD5ohV75ivP4waLv46+iYUY7arQIi
4N62SpIcPwS2tWvHwdBq0qu6gZTpznFIA6q/zKIY2BtcnDV1WvgiU9+Yw8b6Vzz+OY8LajGv7FJu
ZpjPHMXaiBYUyK79Eu+7pEipdvN22KKPC3zM7VSNGr4bS7Js1JSxgLmjj4uyPbS6Yp0/trX/ejfG
2MbkGVqlqUbqftnG5pncdkLsnbElTt34hmMhCeGVzpfN5qbCe9IeNpbiUyLrM+PF+VJZk8R1VhGk
1CzwSVarDN1qOieK4seaG7IGqOwuKUCBVBr3HxepqN/VEbzJYPc+YJdPrasTiGDFh6xzvbXIs0vd
mYyPtaE5dr2GHtCEdgZLyFZahG/ceb4hEiLpCmHcqLndeyUyE6Ljvy7Vo5J71ThgsqhqmtE2qaLG
NKpeX5o9hKT4Ia06+6lpKA1Ux29SNI19FQN+cDPW1bT8OXTKMXYnJ8qacfFbgyBBa0ELZRVF7Q8f
bmHyWE07iYHOcDBYtDq5dNrrpkpYEe74tWK875FkURNy97lvcs0ztFj1FmKALoXa8stKMLnk/ezj
NFrOhNC+DWP5nKokRJmjuoaLjlRs5ngWp/XyuGUEEVXVt1hK8aNq64imwOdVk/pjV5LmBfTdCLRE
S6MZ9T+Hp+W2ydqfqutsQbZxtKwRpdArxD891yQXDZp9ndShDl0J6Fw6s3uTNd/FXOqX5o6sUOOR
E4gWdLWcwy5zAyNlRSS9h1mpxsk3aYT0t2Sc4B9ST0C218JuJtCe023QtVULlbnrbmaCH29IlX40
52/rkhavsL7QCA7WIV/0Z8u1vjmfy0S4t+yKSdDhRHxOTcWTg6udF1DPXpNW6w0svx6VmWse7bV3
b1IkYF7eD4Lhlh64ibSPxMVEqFdEMDXFerT19y6ttrNl5vMRyaTDAcRRDqQFPtcbdL5EpcDIbWO5
tn2/HvTBmoLUIYJFydDfVv3nFPWSn4KL4ylTaaG6iQ27mM30YxNWqCgjoAvylKg9VM5RMEgXs+/u
y38xWRvaiXFA0pQDg+Bd1EJrdN+W7khfi8u6jsDxwaJ5pbYx69y7tNPevx32i1I75JWbPHxuH+rr
VqC55wYshQovyUg+Ffui3U3ufErwfSsE6EXuflm17p5T/fz7u7SPpmujWZ+GpU1CzZ6a6OOi7m9B
FgnrAY1Ftu84bXrfZ/V6/vi4zk4f9RzPSsI5qRWkujS+pfUU19YW11GZUMd9XKBpoozh9lXVCRGm
lXbQDOggoFfh5417Lh9vkfhWQhUTLx8nnZpjjS1TcVwWQZA3N4olxE9BGNyxyeR5t7Gc4KC7Fy1B
FltPNAxd2iqx0Gi3rPBnmoQXD4K2RZXrjid+PJoi45EHpsKllbJ+KPcLlm5/Iv05QB8M43+x3qZ1
EZfVcC6OkwvafxtAx3k8lPVjmuRRCqIx4rOPXh4X5BliXNhsuseZJnM0AKJARt7e5S1fa2qJwuPl
uk+0JMYVY/W+SazUlbu1CcqVnBa71gIkqEV26JwtvXMGjNzVdKxJNUHEVDPiA+LSwYl1m32pSe5H
3b7PJ6M4jEUSlK2mne3chpmTv9PUKoj1iIplCZtU7Q4l1FV/bcgRzOWJM1tyWHddBmMNxet4CbxO
WYtDtlYMwXuxhl3+iaHp27hWFYejovbmJP3GOf5uTJZj4WJaSXvSO1Hc+RrNRZbHKVxatmhkZbHH
q1QI/eQqKnAb0AsHfc+7NsZljsDYs5Y7axWQwUpFtCHqtvvC9QYUI6FuwiV0bgoYS8G42d/3sLTB
LW9ku86MNPjx3e2zOdtRXhxa9MB3rVvSo2MUGTQ9pjl48Q1N3oCvTHFTWPzvcV/Dtu0yrqI4EsP2
tAhgPRSv+SHP6F73euKVLdGuWiFpbSq5uKtXgYBY4QZ1shudX44lDJZyS5tDxhleUriMtumVYn58
W1R6urPbYq6hja538jXbFYYa809MJGWwDdut6JULSncdjaaCr7p7QgHG/KURX3YBFTL0Y1bN31RO
10D81P5RbtmXhKrosW/4sfsWn6oxSBrOlINZmTxxEMh17E5ypiuePgE3VHwjZsfbMHVXjXy2tORq
UxNPMAHATfJCt6vR3ti5jw8d8qql/bBbZ8P8/lK5peWV0v7E6OfFxPJ+SEfDwPdeXmebVogL6Y7C
r7ltEydmsKBItgyRc56zz30qtFMViyvp0HTLlCL2RzV0uuXzmCN4UMT67DhlKKwVODBrFrtad9NO
JoHy43wq9GWgmS+acBSpnyp5fIKh+KhpDASyyY0PajIfCF294qFESqQyNpFNF8l+9ipZ4uCLr+Oq
jN6mdeKgMjVRyWFDWm5Uwcqg2ZpnAiPNYvJVAfI2YdQjXd0NNP1NcQfAv+ktgV6Nnyg1sAXta0Ja
KNiz84oQnq4hBB7KA4/GCQ0sE1G6SaIGX/tGSB0KCbYoW34kyG8tvyyVRSWOcF+9mp3xvvyomBJ6
ZVJdlVUlMT5JP1f5D06qGBTMoTgMBXf3rjFDeUW02f2KXx92IF0rQwkXMFPPPWpQhRDZ1lQdzkuQ
zhMDfWD2ynCRJ20mz32zvuRoaGkP6OHQo77KC9jyY2lFTWEFaGnXcJppCRipIKVS1UUQ02bpWn4U
mQed9qXO8ynIC/2TMWjfMZ8SNz+rJUnq9UslaZWLMStwtqYId7o6HP4ve2fS5aaSvvmvUqf33A7G
gEVvNE85p+20Nxw77YRghmD+9P1D9v3b5brnVleva2FZSkkgIYiI93mfYYTfkYImFhMZgMDhDZbj
Iddc1TnPoQqaQyh7xA7pc+p0zhoqbrFBywKtPsAXIyHNzVLF58gcV33leos+YF7bdE7WZv2IUPow
sOrRrT0QZYIrmWLCcmgPqeowF1AefWlgMxK2yCUWxnzwsUirEdQtDvYtQ7qOvVsrVG9o/HDjGuAZ
YpyxFGgJPaOC2ShmBZVEGjNenxwRCX94paf4pDN6ClsrNY7dAG4cTIm59WwsHAxIlYu+N8JYEhZK
powv2tAwjUPonjra4U9YbSW+klu/wYMfDyjWH69c7Ju4EfyMxegBK1gU17GxltadjSMR1mqQO98R
bCdWXlOV+1LQrNCR+R5+FYTb2T/OPhSSwj06alwAvLTcOGVzSYOZ6PEMpfl0py1/22SNtxZ2jCd3
czNT3XEg0qe6st+sBtcwWiacO8PHYRFThHHQHVFt3cTPRBUzGp4hWtIBwkdxhQ4Yh9a4qm9CmFna
yD6hK2CxotoPNBHcdW1bdwng4DEpsbhwcbRx5t5f2w4rkKy9G8nSXDHBQ+/IS7mbt5WrylXlWMaG
q75p8KZoZWFvxwIrvLouyV0OXtuw5MjMFWrXZIZAygWlwYhCo6lWARFBZA3uOheftZR5AhvUmo4N
g4sLJXylR2rQqdPUQAIPD49U0CLstpTlnIXFusvkJ9DN17osmh0CeGhQRwlp8VmVknZQJqkhWCRG
9qsiQCCdSnFkrNnMY37EStVcBYQm+F/l3sQDdZ0VUq6MZIGM4IjkSIZiIe4yK/lMh63eqRbTEtB7
d+MYyRNmb97KleljP3GKiZGGXcElvWlhNW2zCt5xWqTdxtPjsyPLU543JGvW44gbLB3IGMFyDquB
qytmUJV+uXMJmW799UzfCONMucN6plk5E+tKwXK9HklnjMyXOsOFF8fLZIU7542iwTlkxWfnNXEz
+9aq+o9G1yjoXiVeUGiq5gFqNJQEsrULXW7d0Se60NdvjDHYG0OyWxdjf24jugsjY8be7EFe47nb
+nnwpQSiIlMedtfQgPb4t/RyvR3moeTjLklJPiZoTrwPlzXuzxu5LIMTK/mXv/18iTGb5HtTjkXr
uiCEQCGOPBHeGWU0TLkLXwxGAShCvaaFU62xWeUpZjYiwjKfCfHn65vQov+dZ++q69uvr/nl7vfN
LS8vFzDBs7g8zGUTvt3dmbM508VbdrjcXN/78+H3D/Fzf79s+reXf9/fNFRii4yXoTrE+vL6xmFB
c6Jl44ObwGy47tr0YvOQz6IjO8F6J2Zb7WWEthOa9iug2HToWvhEdemXh4LV9bZKvFdvSg89TqB1
yWxoqzV5DuWtlM0J35WPyUy6TpwxTMdSXnyrcw+GNYNYLVVJgIMS6MRvd4s610RuUOC0XfcpXPBC
1k8/bhLfgxFyfQzrIDC317tYuNa0eZZXaSGTEyEyGNs7xzI///78dXuyALH+vpVs2dv1Rdcbz0r+
3NL3PzpI8GKvZOXMHPzzdT8/1vdt/Xz8V6/5q7+hfPWPUu+X6M+Tq9HwDUCNK+lMNskLPIyX81T/
z7PXe9e/XZ+9PrzeXDfw8+FfvfevNpXj8s+6jd8CCt7GoNEGrkTfIOLbcoIvj//yj3bVUHP8fL5c
3qR+vun6+Pq0V1P9dP5xWFoHTccpTb+au2Eppx93r09db1xFwndtoCdicz+3fr3382+YLNjfObv/
ZaH9GxaahOj1dyQ0DMaLb6+tQsv1Kw3t+9t+sNCk+QfWsjDyJRR3m8Ux3O4fLDRp/yEtVwphS98x
ZbAQ1H6w0BzrD0H8EAw1e9Eb2Q4k6R8sNEfAQkNbgemPKwksRav2H7DQfAmt7hcDXEhoGH8GkNOg
h0jk2r/LilABAc6Uqj80mTjgrROtu6i+OEoyTM0FtM22fWmNNyzCHn2BQLVCWLEtuhG3HLSydNwz
Z6UMxPu9X3yoysW2239GQp+eIDtDPq/fIJ1dejz+VtIgOafMhpVQx0yARcukD8BSQYqCCIqQ7Kk5
WehhjedjgEPK9aqY3yk6CqvJpCiLjQecX9S6suVnPabvZGA9ZKYtsMYebhwDVELeC5hPA1VKFdE8
k/homHzIJs8vw5KtYn5OzIIZicFKjAvHfSmGnYdgemSl89wMCGrm4rmZ47cY5yFQpS/dENxpL74Z
GiID2+KUCojkTBNYfeUz/DdPrKu+eZnj6jkOy0eadh911tA5Hrea8IgNphvvHTu+72T61jd8eM+t
XrJSvcFvhxldcpihKT54lXtuXPOC3bdepRGfOZLNi1NuKxXv7NxCbkbuDDbpbdBsUVvtfde57YPk
hTbhPjIH2PGzFvhufLVhdDWNTxYhhy3UAMM2b0lCSGZLiRbR1WA1jZ86fCiW0XDBMS1ZOenBdxyE
3URCiJrPkC15RXhAHgTVWUSzZIw9f1sJ/wjG8imU7WvY8D7VM/hnCUZ1Q37G5hcXUsKuVvhFc6YY
mriU+RPi/A0R6BXkvCVCcMTyo/bUuk+dB2QfEGxs67BsOHFCGtPLrx1q46tTfcCpQK+qzG639eh/
SDqLTm0y0qcqswdc0mm0jP06T8jVhiWTovw5ukMNc2WEl6TzldLDLcZcNZaVxbarG72xK48ffqZS
0egNQtkBwJXFm6ZdsSUe8ABP5FZJTh3+7Vtfu1DcWOC0pfxA+nh/DrLoNcxgvrVN8JzIBm5rdBPh
NgxBYC3jjiW5SJJ1nCfzQhH3UUxP90ZvvlrNK55sxqOlw42ZBTEsKZaQdrypqdbXbnhyZjwfGynV
IRjBdRt7BbCPeNqVx566PUYpdb1YwoAWm8A2cK5NB1boWyV7saGgfMh7rplGBLhaRh/UnN1irWCl
JgdIuA+9on9smdFDjTRul8Kv2TgLTbsu+JrVjiIMrGmx+LSy17EP11VFxQHS+xi0rHKjRzF07VoE
8pauEhbfdbbqsuBb2G5jlT9Wlr01iwnmkniDMjpS3y8XXp0es3iMMGx1b8cpfRuD1F5ZFkelsUog
IRx2yxXejlwJ4oMJG4BzlFLTNID/moszcIrInnI/z/mtoqIpV/MQvZil9jdt6QES1Jp0YN28DIln
roxjDmVh1YPsrg0uurUv9sQqEjnK6aDsZ+TbiOvRn7HGO83pF5pJuxSTHKvmWHd8CmFGb05jbrph
58zqWc3jzkzNe6TtBBmRLb9qemipcc6iv8yhrY4GD8JzCx8QUyOe9/zki23SmmBsBIeuw5eiiVkO
8hMi3Hq2IPuucVDZ8kwBTYyADVWjj888xlO7gCkVxUNNf48IU6lfZMp+PYnXIGPtPtaYIDF6ph6I
0FDdE1vPD6t9E7YJ1MYqzb9A84Ob2dbHnAUtbYE8WJfxOrMAmKuoFitL2DA7Ym/XZOZjh6fLGuEP
jrngWWvUlTSmGjrVgbVcs121UMLk7ZgwWJZN89kqgzdrzNK1gUsKsN2IO8cEkacK96VjnH1tjPs2
su+h0Zwa6AJbLKKgfsXvNVjYFhMPixrfvqgBM4aig89S6y5eEa0CbKkKJoP0xuZALI3pmyg8C0Xl
Gij7yXDID2ox5/BxuHJMqmuRpG82LTrgp4L6NHZvB4NfsHdcvS4ir4MuVmCmMvnvBAvp0geowjm6
vhE5YY1lR16xyOFWBbJkeMsHdyWjbhvRf90PWGfCv+i3vYketk+hocCJuUdeunPsOxhl1MRhcbHw
NsE6itBvsGI081+7InuyB36t1H0ZWprMs0znXQnwua+n6kuFGhpnQwzcmXzXnh1z6WX+tDKsiLqc
02UZSyJtPUxNmmyioAVbiZ9E030d8ShsvMxa+fA8MRWK7mX69XqWjwH27VA6EvKpWm8/0N3nbJho
osjyTuFMBqLKcEsa17G2/XF1nbBgQKj1bPBBS0OH617XNIMD4j0TV32xMYYZp/az7Iq32Mn3uGl8
hLsCA8XMvgqDaxHH82AdWfk+dyx3qygdQuI6UIcYVBIC/4ckQMSjw707uvua0X4Ku6MRYSoVWt4t
lezNMAhIs4IROOytdR2H205hFCbRTNPu/Sa89r1PrMkqzqaH2SbTdi7qjwpQGTcoJiPDTBnKR1K9
pce1PMNwZHLKbg0d8L0Kn/VFkn8WQ/qhqcTJJDZYjcyT1MaVEN9cJ8YLMBw/tSE+XamTRWsv+owB
Zw9d5OIOH8lgyDZN4+pVaNYQIsZWrAePwQY53jHoeLds22JHVB69UOTFDRFKBgqStYwIueoqBp9B
Gs+gKwwVPnhW2FkPfdes6w5IH94ltLVxSVDTzMTCFtk668810HsNrIJDCV9i6PBkSOIh2k+OXGXm
rS35XTPR7nJJfXidDrl47AWVfcmW1RegFvRFc98rBkSsFJ/nqX0Z0zk9jSWQXtEw2LrOgzDSjTIF
xJaOmTK2b9y2XNZvLBsMt3oyBr5LHNzYOLIyumViE9eiuIAsR6UR3y5LF1VZN5JO0wq1xe00i5fr
mRPYJU2OAJ6JgakFnG4ANgO+A1Pczim8dJvOEEwaQ98NffhB0cjI8K1dRbeBtFNOJAf97yhbQJXw
3pqHeNMmkt8f9W5iVvG2BLFpVPHNH0zqJ9erdrUIP7cAXdu+j4G9IW9KuIXyfY6Ua5saLLO8lA40
GgfcbEkn7ZNdazqPHPLiYHlee26RBn2/qaeyPTdDr1fu1BQsmbZoe4KTbeq931bmgRX4x7hG65XC
H8bG57o4pkhrqKiHMvuQCahZhl629ujG8nMkXSCiqqL1HzZYVkSam++PhZ6zTdEnyJtIMzzFZXaX
JM646Wzx5PvQnKppoVAUlNmgckjLoOl3JmTKhXpHg7g7XZl414fXmysnL9xNke4gw3y5kgsk/gAn
2NwY1E/DvCbHOz7jbnXnEHKwSzHdhf5Es71ZSGyGrc+B1fhg4DsyO6wD/kDbUTu3GOmbe8jbuODh
D79xnBqL5QS7SyI8ir12WliAxcIKxESmPY0AN24TZLv6+kSdcsq1qjFYecMGmVszwkd4q+p++T2j
iCsJi2qFqNHH5/UcF7dT2ootaKEFOd+M0Na3CAfjbt1kcN+II4kuYZtdjNISezu2vZOf4YwTOPY2
xlPs4BmQAYviKXS/eWMR0lVB7qGD/rUkMeYSSwHJ9gFG721VL1SwDMoGe3lHljVABb67BFjhX5gd
sxYn07rhhPG1GE9tHxrm+no3lRZLHC97uz5SVbYoXuS8MufkKcm94ZSYzXi63gOrdOnFn/FsxWsD
k4XdaMmPhTF3m5qTFWDQe5EEpO5Ky7RPQ5zaJ0/Y0NV/PkYFY21JF/iat5N1EmqU+G5c7zqYeEwy
Ze0Ysh+AV+tkGpgOYiAU4PWpYWXbuNICQc9I+q0L5sYGXkX0dyMXht/yyCJutqHMgvE3+n216dFI
nq83xCH+uNcP1Xsbt8GdV7ZyS6GiVmXeDuc2aE1cBcA0hPT6c45YYQ3oMuLCo4YLrVhwWgvaMElG
tyBjLrYLgXuu88L7fi90GrlxWoN22vK360s6PCQLPZ9ML3G217+gDnchTuG4i4PVuO60uDFtJHa0
Gb5VfFhyUpqP6ULG9114uUMY0qLFLvs81IN3MxnGJZlZheM2/6Rabdy2uXsuBrTjNWnf51p2Js6a
hF5apRftrw9dZMA2iumtHFibVYOwnjOVmBdNgt5q6GngTogTdlngRxu8PodP1Rzt5SjTh9S10nWT
jh/zTubvqy5wtyiXbEBjl+X50lbsONrw9Z9/wRd+iMj+UXT5famKVv+f//WbEYm7VOtLqAKQLyeL
jx8R1fwvYRBZADRIg4FueK6LPSztpVZVKXpJu/Cf6fpQOAjKkh6Lckcxe/3/7N8xUW97vpC2+M0I
JYDeOgVtBdNKju/cmawMyWKSYo/29VcW+7ARaCB72D2Y87+xBFrUcD+Ten58dTSqnuXQAsBK5J+/
Oot/A9OIojtAXPeZ0/2j7oLnMZvMVYTgAc+3g8Cp8bvnw3+xr3+DfQXgJr+cG/8iwPxTtfmP8u0f
a/zk8y/q868g2Pf3/wmCeX/wixGpgSHeFQMDhPoTBJN/mCYImSQgAxk2NIH/AcFs/48gcNBFBkSJ
+I70fpFi+n/4grOfJ9F4Wkzd/wkItkhL/+nUwgTcFY5tooBwQemWb/7rVTWZRWrG0ygORrDI50D2
31z4B1G0E+AIJl174STwgnxca765OqaH9tQhMBLzVwsYSwuIbJz8UZ4chuF+qBDD3eFYbNJ2a9X9
L4f5L4YAy/+rT8sAQBASh8cKzN9ko6XreaQuR3zakXVuzMJX59U9OliWkc4LspiLRs6MoIMG18HI
xSPxeatqvp38/lAb7ReLyr93mPRzOh4DwsssvFHYAw22d5wAgQZqGIVpbYfDZHAn7W+QGoBtcrQC
pDHf0vNZpSGdadrgy+awk1yHy994RYobuVOXr8trqKDInU82y+5KhCBDEK6x0GXTPmzrblXZF7/v
rn9aXrJssq5Mlr4OreABm8ZhN7gwlPxuK6pXh63/+aFqIKnlMy0f8PqBazzQhbvFM3O9vAaGOPAD
hcfgbUg33ujSoNJBnkh88nK/5r4ewjUFH4Ez6U6jPlW+uFteE+fetqGAiXkrTzv0pKOKtywvjfhb
QiVbMwW1d04KXIJ+qcbcsW7wg+DdjgoOAqa8p2uWFGxDlcWmjhcOZ0QnmarHQUs/gUwUmyEPbpbN
Wcm56/XBsfHM5mGqhgf4pLD4pnS97HZoxZvlLyQWfPScO0iNTrnTvCPFdD5kH9fPxc5rU+7+/KrL
/ijKaRib+1aghOsPy1Mgkdf/x4MrvuiEpLKaENXlC7Adp+pWoaH2y+FZvvuy8+vfjYSg1XS33F8O
Ybjc5zldonEr4SM8432+nuzivYPMy2piyMeIcjheYp/D1ekcLg3mYY/7fXmfEBqIub5QnA7tSbFY
99wWxWBIicmHhm4AxHOYYI8II1vVeBE4SE66BNlTV5yXv4czVhF9CAP6k2Ify3Z12u/g6a1TNrds
AmrQOqBbWHSEO/CpPMuEt//9rT5E2Bpr4XRgna0gi3B/ea5eNrutHL4ZW0sd1cKlaJ8ERKmcty+f
YHkbbX0v+GiSdknAxKEnx70ngWuV9OXnPKEn7aEWha+a45XQwlGKoqXxv/ncj/m66dLH0Qifg4il
a2ZXn1KNO77pwUS378kSeT9UXrJRLviN7+4jLc+ooG7qBkuCqFu3SQrIaGH/QoxL4dP/nur9gPPR
ClDtOS1eLI3DtKFCxFYJCMMkhtfCgd2OhT0eeVwwhhnfA5hvEX5znkEqH9qHjPTMytPbrqSbmtp3
DGL/nUP/31wMTNtb7AP+95/9mX+ZRA+fh89K/Tpt/njLj3nTdB3mObhwOL7ZS+fmx6RpeuIPy/Ec
k5WYQwfJ/ulfYFl/WKCMVgAFwIEW5tNU+tE5MplPseVl7WajBfxPO0fI4f5p1sTQjVgGJ3A9y0Nh
5jjXeeqXtajwgmxGUGU9iSoxWJVlHaLCclolhXmTqtT4kBWAMDAiz2bbOe98wg1WVtBMpzSvgn1v
zqCDhrnJSOTdOgqduZgdyi+Rb9q0Ns4Cxjinrdns+wC8amyJM63a9jh00HML3PgeEaEXFzvVz4r8
cdEq4i9a4zThxXkSYTYgSQG7DwzW9xZQdWfivoj7jGbS0wec8bxPfgCIRuQDWrMAcNf3B/ugWgIK
yO8lO6oIiy2U1Pkea4ZiJaiKNmU8puDG3UMd9Qn4e2vtoCtC00G/d9Mi7Jm1964u4o0V6Ke6RO3u
hdV2NtB4Rqm7HbvoQJ7GfIBnTO8MZAvR2NnE9mbHudRA3AwjIheRmEPNEhhjD86dJlxVw7UxpsrB
n7bq8EAeuv1geF9ad/rgg/LdDpFEotBUd30L5AM3FZQ5xS3AbTPCBqW7KpMALVir3MeBKdmpZftB
++FbXRE35KVBDgUdKyLgtArowVvXOar/JfjHCrqJfhOg15hgRduTQeQ60U0+hv0xkTXNDM/BWXd8
KzHlvxs648VQ4l6X1vyYu1iNdqmOngrV7FrpjeuY9vlN30AMsipiADC7fBv4jmcVi9ekDTyqCehd
ITkZmwjrxwMuCbQzJDLfNiZpoZT1PWaq6t/YunlL0fSzsrieyJ7nSy4OQV3x3bHqlxOZ9BAnMULt
PRV1gstU2B1cu3O3Sz7ZNnT78OiaFYo5it48Sz4Jt9i4FaJWOp+Ll4Sl7/qgrDYGWQYbbyj3Q9qb
DxI/wY2ee/u+XiQi0bNZVsirJz86yap/UKno9zMku202otE1C7UH/bvNzLQ6VghbA2Rvp3EaUZnX
cu83cBBoZ6qNbVTzBUo4fkbFVhha35a53scTJk44VtNdbLNXWaWfZU/EqoajhvXz+z7r3Me4Mrf9
PHyy8iLa9JpTFTCAKtsu7xJzetSO31K1EnYmo8F6brJFrGYLmgFtHjz9Msj91RJ2WdT/8xF3luJR
sqwXAq/C3z3fKphgUSiq4kkCGm3iqZUnDI62Qw82aUdM3aH7AfVOdJddxrTqz8kE1bvqP7WCWJBU
VSOsMmb9qmte3Y6IWLS0GASZ5GMiWMSf2rpRpkp2iW9Bt1puoiVYCkuheaurwTwlCEzWDfJso0vs
ezMpj12sEYCMX6LCSU9Z1X9A/u0fkkwRVZPSYVYy3sx+/h5RN8zqUb2zqtI8c5SKi2HZe7+L5Clr
IA5F9Xjv+uH7yBmtPfoIdfIqJAMonHtsGGaT9kD1cRD6kkEz2+fdbOwd/0LeZ0vUZ0OrMxgTeunV
RwSo/r03OCcigPIDRKOvhdddsHgn5ofBDcgQBmJvQrIqkvL9FA0XJ4QXk0O0a2HObGz6khjIV1A5
K4kDM9EyqL2C84R3YzcAw6u4JEktjx34XuaReeg2E7NamRNGmEhC9jES0lzhO9KXdI0qUDydBC/S
7V5LomjT2A4vlfMu16WCIt0f01ZDwtOsHiLA3Rib9tY3YMSZgP3GkGAh3FGz5EG3T5b1e1s0GJhq
dGyZcdvHWkGmQ4hdeeY71HN3nTPUVF/piGUF2udMqwGtHZYZStGhQnWXczZPWFMsjU1FI7eq6kOd
pc5tF21kMw1nI8ZBA7E2w3RfTeda4fFXIWmQXrXxh6g7OgYOWwG+Oj1Y7q6Whn8qiMiDMsBCeEal
s4Czh6pH6DBN0U3fu/meC/0rUiOLHiaChc4CtQ/99LWItT7kZF5DfttktGtuOK/WvptuIEenF9Qe
mzjBwrZjMAEDLuiFTMVuMs1dWFNl1pq09HF6uIqlwk4hHAzdPW5a8xbJZLX3AlndXG8kBnKI3hFx
8c3oiqbVgaZ7gc1Ee0MdN23mwf9kW4rKFYx1Z1begYsgPeDhuwkmxKC0sBwMfSyCuIEfcbeP0Lch
Vh2syN47iHsxFpFMT2l0iQdmR8uv7ltPv3ZNPBz+fhigU/ZPwwBsE5/8KpPK37Qp5rHX5vlfBl4r
6kNczCEKJ1njrjAqACEvWDcHMiECzp2Pc+A0D2ntnyak5JtGdgFAKq0/qY5cLAT0psF0HtXs0ivi
8sqLHlE1EgGT6f3YR+PXORLuk8pPIRksXTdeNEYYmYu6jmbFHiDV3eZV1Z4MQpvzmLRkePMvY+BA
oJ/H7ji4nMlE99KaAYe9kI2kKDL3MRwXKbdW1CAHt4h9VHAWSq3bLXWCsXXs4puHWOgcQ+1aYQ7c
ogwL+/MMjrEmUmyidL7UJLbtyiZDZLH05YZRJVtXWOhV6MGGX0ZqoQPhgfm50ZiGw+U8YEh1ghJr
3dQ9Y/9gAMJi5zZdKna/clsD0xMurItdmcG6FXg8JuRyMfdkzr41ZL7pxjbftXYKVlcYwLOTeN/n
8ae+Ul88Iwr2FkVBIDzyGlAKkb9lbjt3cs9aDqTQefMOJgUMZ4eQkADxw6nBdTWp8IGbuYDPXmBZ
K9xsqMLCdljqJudmKOwKuwZQhjyYWJe5aXRW0VIWjQmGjWOWMACke93wi1pqOOigSm9aQj/QomXF
ugSbuPhR+rWUpkcr9VEZQbzDpQ+Zh23oRwt3iEtWe892scZkN7+YBcT7pedPyxCpzXJzGPvu7e/P
Wm85KX+uFpaT1mbxLIXveZZLwuviFf/LSTvUiEOiuQkfNd4qm6CPgnO4yJjm1tI0JK33VZMfMAce
H3v3FTL2hNEhtFvCLggrqD+L0N4bBQQcA/eafb9oq9AIW7s4tcYLnustIYWP2Hsmp7H1jH3a+A+G
m00ffYwD6LWJ+LHKZbFWgVB7p+0hEVBDur4FI4lezJomT78BtUDxVjKW2bKZd7MaMwpRQlboWYR7
PsYXTw3muXUJ4xj1vG21fdOPD0Uo/cu46Jy8oqPP0Dri0Q2zhkU0P5rXiPcBRuuznOH+22T4sBL0
aJ1uW66ce6I/801Jf2IvXfr7qjN2f3/gnd9wr+XAO0ttAwIMZc5yfxstijnVjRlH8vFKmRgTc7yt
K0bPF6ebw/tiDOa9cEi+KX38GNoWKmp8LrXqLsgF6Z9A+37MsQ2AUb6t22zaIexDs5RW70VIz6Kv
F5cbpw9ujZYG7QypAPaAe1s0AswqRu7PygBLBfxr6OqRMVtqecB+gJrA7atzNtnpsyncuyz1PzZF
jGqzj2Oo8FAGPJAwn+n8qY1CvZlFhmOKEkcDP4XT3x8jgPB/PTsd6CS4H1rQ34Azfzs780Y1tEDc
R9aIzJhJat0p80HDV4aY0Ys9+3yBwYvuuh+7k+jmkXIl6UGxTAdNHkMd6stin+quZe074nYQ5ixr
0Z9tKlnVW/RdJm1aVOnE7NyIoOhQzUGKISzXOxJc05/SVt3gKfGhxJzoUOpLjNmNkIgEdIUTzWDR
KMf3Z9ciM9kHWn6ZYhylGBVnODpQ9UY7OFa2OM++Vpe+zzdmBZbRCChVFSvGjeXn48b0k+kWazoW
DaoXZ9ScO0NMVDhB6ZzgOPmXXJRqpcOhI8FwGlZ+epugvHoxTNc9FOpDD9H+orASmro0voGGGeFW
ETvPwiQkwU5nulQazgELCQaSU4Tz9zrBJPuONJR+FfekeVjjzjEESJI2cZ2pEsDO2n3xBi5LWPvj
dhwKFyIAsRlOqaPDkHvmJik881weLaQNiB0942CwaLo3HWRERtA0G6PNcpiG09qKYwVs6V3KLuse
1XxVK0kQuRoqRRmiUVUivgSueulszbChx7Vdpl+scWw/+6m1Roowr2o39A85a8KBpfg92W9fkVdO
Y16s2oUAVuRgkWbXOPvrDOTExb3PAHUpRX2rKuMuG0z/rqkx6yOAptw61mYuMn2L3eaxhhFyKvHN
KmVpohFd4+mnVhYJjqcq9o6iaKL3NkZhtHXV9KDq+IRiEbLgJD7krW++G0YsQTMIecVoILpz6LdO
FpldfU/4aWv4xTnx5X1bvctRZd7VNVWOhXmItfhL0DRscerYK6u3zxqFU17jsYrVOYSGbPgmzU5u
BC2+XaUakkTBd59tdYqVEV9qPyp3lcZb6voQddde5iQUlmjbp5FVHJcUZa+lWX9DG/RTDruTWRdW
SxnSlPbJtqd8F6MBXck2Qrg+RuKGg+uv/v4qZjD7/SoObIdy1PRd9wrYLB7Kv8wxfmFCUkr7+tH1
WByMeZBsKreTuKbMxS2T0uPsMfS7TeHcydR4smJ62Vatq202jPUehxNYT4nHioLqbrTd5mwnMM9U
eG/kxYNjJbiQkHRotfODsJL4oBZzttiJrXeBr5Fw0cVZ+T2cqNKqntsELFJo5u3rOGs3LUh8tiTd
hBO/RNQNd2RsfiWK7lFkNlymqNjRNvZvMU0hHYmUmV0IgLJmzvS3ZAVDN+v9cc8KF4/+wOjwcjOz
nR50uoEgHB5CqB9r2KYzA3gITIq3PVJX/2zMvo85bxkduhx1buXVBTuOiju3s8/GpEJKpwAKWRF1
H2VFFnaC8ZNnEieURSKGQmotUsuHvmhdAJkyfmfPNeJ1xX4zY0ye8/DJIyV9SxFk3Iyhnx0DR2fH
TtETgrLHaS2jh97MxU0YiHmTC/uShB4pK34D8uGi/PfMbB1PVnrxoDwce3hUm2gSyTbo5GtOZsAj
Br7eWscKmoANtl0hEcHT/AyWrB/hYE4gN4HcVP0ID5Al02NrYkwIhrCHrgoY7TJzqaIjPpGCbjRn
VvPKqHdZ1u8RNLerXObhrVWXAep1DyauSNq9v4i129YobmFMg2sMxnvVl/22WOz/m8lkjPM6ygwW
HWVp0TG3nvEJIYiq7N1VGHbzOiwToke8eKNstINzPpBdhE5+FxK2ka8GD1JJXNft1q86LHUDXAHR
WX+Ikwi19ijsTdbB+CgwC16VWUANqwkuTLzpgeOAiiN9HUhKfiq9Nt27BHphwlDoOw9LjoXCs26x
6Hs1nTtm3PAzpn8TXRmuSBjP2RGPRwilQXgmfjy9Vb460afM3hGL8AXAxiQggUdtHZwxN3us68w+
oValxV+g54xMx9l56n2uDetOCw38HttyXTVptoPsATNO5D4/YZA+YmMOg66k/IYlGjbDF6/2vYfk
vWUbEWkMw7wbD21ilw/K+Kra2F+3TeOf48yl64GYbj/1eHqh6fffOXOW70ER662RZOU+Hai7mAbe
k3GI5V/LXJlGNj0m6Id2zPw7akhw1pyr52yy8JEaCyxk3OJdFZWLDB7Pqko893bDkoe4n49+nx/q
5qado/IyRy5dtrL9atqJf55ya8nNnjDqStUuMmN1K7DpfRii9ugavfd/2Tuv3dbVJVs/ERvM4ZZR
0ZIty7J9QzhoMmdSDE/fH+fqxu7ewMHBuT/A3l72tCyRP/9QNWrUGH6kCiXbaz2/IXT0sgZHMc7T
782EjGGPYbxbaFLpzOzihwKl641aftRTgSiHbhgbOdUOaAmgyD9Viy3QsX+uaZkeIDLBnWgEfDCs
/LgMzQOJReDJRzIRkwkdqgFDekMFVPNMYijEMSzYhSUKcWX0iGkglOL3QjIaB28S2ua1Gsyh/QWn
kJ/iqLbcKaHbtYRy6qOlpgfqQ0VcBNnPJKIDgZZ5TXlZu9GFcpEOphpf07AX4MLiANm3G9rTU2Aw
rdjraCq5A/kTje9quCkEs/OllsZcJZUeLzQ7Q6CuaFfuYjcvY2wrijY8TxrAqfooc2jHj94dVAUO
d1a0DFQCfVyi0RhxOJldhw7nvhkvcNbzo2zOU6BgAEXLG6XhNWyeta8+r9styftlCSn5zbOFobQw
y08J/T7WHNRD+pOnVJ1wOBQPMlTeRXjQSGmEMbIJ6FDqc3gQxmZ5Qk6HBizYTpR3VYJZUTIRfFQ+
EFfEYK/7MKRFpjw5T1tLIkjI+hQv8sQYcQJrMJ1cq3BKIdoPc3yhhmAxaNaZxUI/oDiMT3k9dWBN
yp8cMUQvmzC0RabhFLVoNKp1w56mZu1L1uq+Zb1JVle+m2DnCEJqSKHEQ7fRid3/OSn/Pzvj/8LO
wCVj1Wf/P1eWtjlmmJhk/q/a0j9/9F+1JdP4D5VaJPRakvqVEfFftSVL+g/oUxrkIjLc/03IoCuJ
X/HvKu1MvJlK6vtftSVksy3WusmfrDUn3vH/hZCBy9e/Zdl0I2G3RRFLxKVdUwzr37LsBBH8FIuy
GOG8a1dZ1nYOcVuZOzp23me1JUSDh+zqyUxUbLSq18Kt88xGNH01S371qf6zoN2woWm9cQgOkIsK
4fMm1hlJ/gIiYWcFAzniQ7B21FUK+i5RKSjIWp082tdSqr2JEOWkn0gZjcvUaIdFmExn0ozlZewW
zrICcRAC+fCsDTMCZXKM/1IOnbJJU7sFf9zk6GH6SpdLdv6OTmGzHSdUanFZgkcP67HFFXBMb9Zs
yW5mRrMLHkwEpKkNrf/5l9Dik8dGHSGSq2kHtJDezDla9qKyNUokeCZSil5OvVKfo/dR3wlDk1C2
KtszAL8zayxfw1i2xYrGYGaEEagCCTJCz2PMB/nQr0ceeVL4VMcIGYRoEGrzo8SxfESvLW1v4oQ/
YTUhB1kqMfTLmuhk0JRkG8PZXowU0ZGwefr7pdflrdk0s0dvFNfAaOTobsyDhL1kYenOQ0gVr0gV
IcCPVXJU+mAoK6ZPGp9HYWsJNGnc1y0ltmQeMTRZQmTQ2HJpwuls1QLxnAbkh2qkSXCfR5BRne/t
OG8hCOEn3Qm+gdYK5+p0UtF8o+VhcVQjm85tjrVEOgrO9MDppXkIitOlarCgZWlPqWLtFlwOE0zI
ZNXw6rp7LUbDpiOq3KvlSNNIS1Uu1ksLm7wq3C3WyZTQnyux0Ba7wSsqwEBVA19FaI3MDP08zMzp
dkmLW0Llwsyxn6yiej8JxrsYSnuOe/VZGAFrY7RBYEKEylmXw1XCyfwMka3wS1iI8pDX+8SCj4sQ
mciMhGyrWOPkQPrJXSy7umNGT1evAJOVqEz02KXbxtAXBwQM8n++cGvaHOeXR5Ifspperg7rDzj0
p0guP2gkc6spLBxNhuYumDOqCWG9KRoz2ZgoB6L1hvliKQ/VuXr09Ed0oulqMhzoBI2xLGuOkSi9
QMEnSV16InD6ogGcj1mmQKRRIIoOCspPwvjaGDN80KbYCqvJaK5U5ndW9rQVpYcCxsHLDIcHCcgi
8hLDVRp5+2ik9K6b8RGFkm81rjQ8ViQYDZhJnyBBnIVGwn+inEC5RdpHKNRazqAnCK9PT9GoYwdU
JM9oPaTUWfXGfvTSj1lEhYt0Kzq6WnhcYVTBsloSjWF2FQsp3UUlVqJvwYFBLmFsiYJeXaQVPrJL
5i39AJmDBCabde1gouFmFzkRXqNVkK8zon18Xa3HbnwkqKTJP1qbvSL3IfiWiAPR0lI+m2vzlj7M
jscZZk6smlsTAXVbbZZbRS8iBCMijZngSRxT3yox/JoqUtkqg0Vd/SULGUYQFfVuIpiYMUhKCj9E
xFtXC557JpxIlDA0m8fro0LbcKHzmCYdblFPoOXL4KyyUrsEJN+yUr3JeS2RMPcbrZFy2GLVYOvC
hLzDRI4d4ZGjFM9Tk+8QOGBuQ88fM320m0rBTdz8buMPQ9Un/64XskzF4LcUCvT+Z1s90xpxyqea
OlfXvM/0VXq5CUCdL1nlJ6qEwjeVc/vRlaofD+SlZbwgsZ7/aaLx0iCygfmxi38dDrVL6NKmsUuU
YdpnTZtuByX+zicV/zU1+27zZhvV08OW+/EPMBv6qVn1QwSFtl2LYkgLH3tg16T6pZGnNGrmLEkZ
DBb2i2WRYpxCiymOqioG6xdkCf48HvSPtuqsuQmd/fZStedyWQLiqTMdobGJoGmsLTcLjIJWxNCd
W3nTMN/mbnjS6+6a5M1nOSVn9E5JhgHSoaVjBVkvJD2hOXyiKpTs6lRDw0WeHeWBeuFDNziq5NBJ
qGwnE4LMaow6WPnY9ZhZF1FjD239i6XOGJ3zOJ928iw+6T2dKbgJ7VNapMhItnEhU9CblSCNUW8z
c0hcci3CTxZXsRJTuclh/pnnwAdGNP/W4I31OH/MtUIXxUN5jzKsGPomuU2i9BTjUxpI7zXNMxDh
I9ntVNRf6HLp7SYxRFvTu1tSpftwQAVpjBbkK0TI4Uq3XKi7/BlKEmQkgZUwfMZGEdN2pJhi+U+1
xAjojZa5qfu0OlldBKs8h/M9whivzHc519FZNSKGmBQBWXzqkVY8nkTriZYnE72H5HESEOR41O3v
YqLoVKZp6/V8FrooXgIW5zwSE4pNciQxT20pnIjAa/0qtN1FHjlZ8Qm+q+AfZpsKtNOg1WNFpwhV
yWZC/aRk504TDZlxYdmMoFaU68wQ6V3gRwGAJWV90FtHbXPmIpM/Sad9qdRUwY/UayP3xNBVR3Xj
gUo1/mCO9Z6KKqrojXocYlw2YGHvZoHyaHg0O9690xt6Ojk3+nzal9ZyndfOOCxZvW7WT9ZofpGN
veli5YWKejc5gZAMzrxRixyVvstEnj8aqOou0neAhRRtQcIRyFGkT8IIatjpzUhSnlnLqVY2sEhm
Q/4owkf9xOWtXUczjW8cHIaWHajPT9tEwpagX/fwcZivKgvDHTGeigqgQmT1cCfhLFYHX+cRk0QS
ysBGQL8eOkhXYYwhIPmaotrzKO+Idm8ttF5sHG5BDnTxvQs15KJpSo1q9aeZnsOG5HZBLAgfX7oF
EqKoqNNQVTUoOC06dsPDgpUl8snxaYbObfcRnUC5wtaFavFQcJRSHbapASoShj5JzMYzGE7cFN+y
hfCuphzFtvyWe+0z6t5oY93LiRTgheVpKlN2MF/DbNPH2vWRIyY/IIRWUswjwXGY6PBNMcPKiiNd
vUj2tV/IB9pdM52tXH2hn4XcrfqVG0Q1G2Rte1p75tQZtPomzaZCr0S7FxuwzEagQJ2AVC9x8BAV
OB7E6TRGm9/l8KePuyGoOhnMcgSVifLqZwrhK/0ow4Jwr1m5UmS8I0557CLtF0UB2Z1C457kT/X4
EEjsH9BCU4iwuWZ9oFIYov/OiKEniuCEthk1IXJmszzPeBI7Qmh8JmW9LxUU3AkQjhHinx56labD
KFUO1YMTRhFOR+jHhAWU+15o5Vn05dloo2+y2queCjuEQRNbbLD9/VWV6KxJTOukKyCDJqfJTEhi
ceOIIN4uKfLylMa2FTt4RVOgIMR+UrwL+F0ty3AoytCDUVE9ZleijBBS8J/GZa91+cVIV6u+SLz2
0owUQMHWMhXi6zDTvmjqW3iaE+DHbSlabJcsVMfw2EUGxJA3UyyrXLKGCE1vBRISVr5sjbS8IHjn
JGQCYGxgmYspOlJZjk4YSzg4CFYQPiTgQvWHfs+gV+VPK+uPaSR8G7H5oknomaH+6oQQodto0dxc
UbePOoc1XJFRZxf65kcbwtar1NIgO6a4Mjy6o9ylkG1zHv9Db8EfcFrI2OjUpJx9AFP4r5yDRZ1i
FCGCQacdbSikJnZYroeMiJTJIOiImjQj1gh/v9XMAT1O2qzsdP01roVr5/X6or8/J00Tu+ZAa+Df
f/vXL2TGXsQlgBf+68vfP/nXjwbKO6E0J/AA/vuT//7yf3z8Pz+vv/6312RZulfkgTLRUNIa9Pd1
nLA0DP79ln0fUaW/3/790mjSxqRFdtXl3GnVcKkMPNL/3vHfL1S52t2/fvz7nY7Bx//4t6FV4h2y
M8h5zeCp5lfx9zP+vor6yv986T//pu5E4lTSZNSCOhR4d/R4U5MrYM0SMcauFtIUuTZ+o3G5vubv
F61Fo2jS28Lp9NcqXiLn3/7+Xz8+Mgl2W0+DJgxl5I3+9Rup0tH/YYSoPZa7SdMKHulElAxe6v79
N+MxoQeb94qTTUnod3P3PClZszjx6soUFxPySX+/HYQIAKZAnzpoxvggHGnR47Ra6IqS9ml6NVHS
AsaxUd7r7Z2JWODH+KxcKvtxqtBecuAc3BBE664FcLtT35YbESlsqOoHPx4P/SYi6V3yKjUIQBQX
80C9OdV3BlmQg//GPT1ZT0D4y211DDae81fzrEyL/aOgmlH57YwHjF04OeAmnfUunP3hzvolV0G+
kHJ38dn2Dsq+OobZm+RrZOMpPBEENChWR2/ar4P+p8RwZraL2UlVt3p8TqGDWjtYM94W390Ri8XO
QcH8xlYCa8XPsSh1UG54q1+zPRY+UgyNnt4sCOeucMEDauBIO+Z0cPrSq6qi9hlM0uSqnm4+nvBk
POcn84zITtLYWYAZoYiBVEQyG5+KXfUSIeX6Qv9qu/Yc2tqBKq69LPFWlt8hsk7ITVOJRGGfrxL6
goLd3XGMWfQBaTDID9OWvEffwcoK0LnohI3l6KSsSAj1qEFnO/bR3iTB3CgytWXCOkSKkZOHoP4a
PvgyvaTiVfiCPen3lNk3dLQr+/xSfLJB52eIWZvKyS/lpXmOHcHW/JB+PMQwNjDtCXLphC2+LP/d
sE6zMyEWHc6Yuoa73C8G19J3tDPjPgc1DlE68EGHFNOtCzf9gg60ab35HZDd+yExjQ7WsYdf9l6a
jvCJUPeB/kzt+TY58gmFrwOCEMh6epRxVcUlPURHyjmjvdpuTPecOcCi+Jcgr889pi4yl+fwFyTd
Nt1+o36Er+YWYDzQz8lR3+q/5Tf/hS9yb2/6Nv9OrlIThL8C5eEbHTdM1fAMp9ZebMIvBgCF0o55
hTJhuJMKW3fv4rm8FY5+5lSsRlvfCh79AySjbvIZfvxYV/NsnsUH1hhO4U30rEdo6Lrwt2TtDIhk
UMnzY9Rc7UAdkAKwI6+6NvfssxccH4qc4n5WT6fo5V3DKddtc2dvSLZ0MipkavDo2MBppcxchTYm
xabsSg7yvfYSSC+YHiXX8KA93ZWXl+SxFZx7X3vtd91T13DTEwVfPp2mgusrhuyaK+0XFJDB2p3k
ecIE6KNV3IK1VGL95aC8i0Q3onaNcI+ey9Ps0Sd7gqC5bLIrKpkI9bPjBMs+QXuDu8/diZK4v62o
fnjRp7S4//2vABp+tEP9/9GDpbwMFSvAb5TUxbDDjnbL4jZX3peaa9DcC1Q9g8LpNwmFs9GdnPqt
O5ChyNabGoCzgPU4yw+T7eeYHia/dXHBoaX2aTi2p/6COix4zsk8TghjJm/JZtriieHf1W27AaHO
LRd7MMP7Z6bcMyewnJwc1TZmt739YKK1QS7jFcyH87vsoR5yKYVjwpJU3ewoPIWuKtg0doDarcuZ
h8ks2wsYk+zWwezuW4lfj1ea0EPqT6e6POL2YYBx7KJiL+60H6GwJyfbLs81LdubQWclb6ZmmzzF
ZyB8y3CqI8Ijn4AkUAhviYfqrJ99Jl62a0CHduQ51TMBEyNXBTVljeIZmy/b+EZbOPPE47KN472/
Uidlt3j6rOqz/Dz8KQeHUWkFH7+2BkjcQb6dClryREN+84UBzcuMrBCr1x3bT/k3o/VMeiPSBcqi
NpkE4JMYpdSSw0Ku9WBaDhTPLfXr8QvrpuyPTe/TWW7Znwt0esf8k4inVLG/6ZHUHVzUhCet8bNr
6E43rHPMhH9ZSy3lFpUFkKjejk8x4KbDmijuVdAKDrGV8j3eEddZZG+A7GPaiYeB8JHJUgWMihft
NGbTNX4fnsfgYZwYHcx0HJzQVbv9Nl0apsmNsHFQTD8njad5M0ah46A+PqqjxCPqnPQ9Q+FSCxa6
V238SrwKTgFaUMuBNZLgwfmibLpguEouRyp02V72IA2C10gUqmxqo7wek6zKm3j0450eGjtdT4yL
8s1hyRHYONM+dyM2hzHaVp9UoTKNHxmDJoiesYfK/el7JlIV3al2gX/YoJ312QPV0NezW+xpg7as
+Ku4JEuLfoz9x0Zd516NDMTwhkV9uD72hBAvlV8ALvPXz9WE4St6zi8Y3p5euETx3l644fWmj2w9
U7hNYixi7G1q2uEWl7jIXZ76DaIef/8f4Qf3jY7VPvL87jqJbgKD3AVnfXKN3Amfy3N1ra40GMXq
JhxtRgI/gtW5EM9EPch/xGGwzfuinjSC3SD1uYJsCaweKrnXVY44cyThwJAKgdzxGIo7JwPbyG1A
9mPth+Z6nPrEPOd4C3eNLXo0DMJEdtJf8w+t7BiPNS1nFDIsdsdaaQIOKJ+TlBtEaf5Z+i6ximFU
pG/5joPkSsa2fozCmWgiA59DCSy99Ja/aKdkt6XvqvSxUre1bsdXtAwCt+jt1Alxijeg73i9GNnh
MxICd40ehRS6Q2U81QbakuJb/Gr1bJbB8pS9knh/9zfxykK9xy6dcNFO2TefqYs06YkIBWwwlh3t
29ijhkHJzI/2wxcivFuWwXv0FX4Ke2WLhLcvuAAAKJv5HLG7qjs3eN8S6p3lL5iMBDogIE5oeH83
JpfNyZ3gKiC683bubRNDZRvmcms9nng43dWUAobQmb31ISocGfSMua/rNG2CB6iRXe8RnIYGyu7Y
+RNWPPM2/yoJ0djrIsYGYQpoIEgTnOu9wF5I0iBIgBWEQ0v1SY8XAQ9fxWIzF2f1ke9Vzi8hgxbj
6tTcoawpvoR53XAx8LwdLzHQb4JWtihu8bUU9RRngj1dHtILfWbOPTARitjsXTFADeIgXOAAzi3M
Dq+3bMlHTxgnw6i1h8/2FPupda43hheEPmiWG/q9rTvM8hfFTVqbbpTn6RSOp6j5zumM+2mEV1x/
nOlXIZuk0niku59qdlw6MLloQDhLQ71DZ9wT3tKlesJ16Ye7Mr+itLOn1Ytr0xtfucnkGLa126Oa
Ei6vmO944hZ9SI4rYKrJuABxauEBGpaKNgikyx/6Gman1+2CNLFBu0aXwb6PuH8/PlUXJCFmprDt
SJvcL0+pu6gb5Zu9jfOEQFpCjoGtjeU/8OSK5xJtFewHEVC9Zhy/E8DYlkCVhXdi54mhM++GO+z8
K5wUCUUtNg6XEJSAun6webzA69VeGv0AHl+iTIG+y8P7WfbQ7JcQc3qaEF1JC6BsZUDJ8lVhaXNc
eTprzO3LZ+SDOqe9LNiI+OpdvQv1Bt7mfQwUkzDioz6xzo0bytVbkV7cLYjJaqzH9Sw26IpdvEhQ
gFZqL8oO+DHsgEqyFgQav0p3ily0s7PFwew5YRdjxY+24OiXYVjjHdxBNGoRIEGVl5ZbmdUqT7tJ
PQGpLPmxTXzhJUyfosmhWPFpvIeqa6pPE/2tQMC/tHz9Mx7sfTlHCg3IXHPAmVBXW0Y7PwkkHvsu
3dYXQhfgR5zsGhVhJwaODlieJXQUcow3bLFSn/U858jEoLhlv6rjRosOmklEjCTETvQeg0fDTJWd
p32Fc+n6xPpmV+T7WLwL6iFNvKJ0PxPREVAkJyySvTCIYRXSOOos72vP6VN7nq/V6I2yL6Lv13gN
Ov2ZC6giXrtkQyPnwBVA6xm3in5UusssvIXTB2JsFTpDxAypXXzSgktEeOtBmAnBY8jijvyynCZU
rnzD8nNMVm7JHETDiQB12RcBksu5dgJoNHYDpwCmeUHqFiR1x3AdPaZSdc0vQvZKUWc3w1Ubt9o3
4gfxeM79uaJ+wPyx5cElMZM2j3rTFs+oMkz1Rglf89QvVwKrU7rw5zjqFHYzGUICrezVd2uhjIV0
MNmWch6kE+EM52Nf0ybgjHfzPk4u5qsPGjdmiBdBo/oZNl959Rqv1B/Br5GhprW39lSG5kSRNnoE
qcHe5oxY9bR+me2ydmMUeyilyJpPwx/yhJF99gIWgtswUKMs2tToFLoSNMBvt8Tjrg7yDIc5bxYO
ZUck7+FQVkbBaZ1+G+uEoWSJ+dUqbO1qP3X8km5X0oOvS7s6PcwQSAnCOEfoyXKq+TmCNRUfgKPR
A8E4KUsohnQi9KuXAmMGdPzgVTmIGCIlZ/O/NH/uKWZeeQDLN9Eg/qP6Lss4l5vsXGTBjAthTC2Z
csk+Zh9Uv6AvtqLfiDuObASXa0R6PleZy+8asii5zJ1TCT7aXQ43SuVhqCWe6V+n+HVQMacaCWKn
GpsKb76z2YiDCxI8Kj7HNKVjMQ/UBPtL3Ayumg+pP7Y2Ou6yN1T1i/g3pFv9zpE0ObQ1JdMrF82e
k2NtihwMWAhHEQETe92SP0+C+3jleOB8svsT68bcKZSw/ROm7MSvDXi4T9zRX4oN+JWDN/NT9JV9
9YfPelvZn/WvspluPygN6B+W4PS/tcoObkskpclXwsY0H3kIN4OYhin6BiwAwfdMLrtJjsUzvQMC
GDvILOndl3BJI3e6IB9ofSnu4zThHPND2EXrEseYcXit/VpwkaBrrua2/X7c2EvprX9OmHs4YuH/
G3QPUiOqSVSRiVL5Wp6KY7bjhuz+om1W8CBYBQrYvkHdv1PBZ7sh08t25amsN+PL9LvqdbUA7Q/s
hzcJEuGAEczqxiu6z4lZWXshRjoyuIfpTQvlBZfdlQEFleAn3KbVbYIbBvXcM+KO43E9SKYLa4tP
InMPmivbWPU8BCw4LOdPTeSY7FmH8sLiZUXmPrVy8AL29Ik9yJbXNvUNXqIUwbfSARIts2y+J16N
Ehw4CdEHhlPFDu9JElmn+SNepWeWO58Cd+xxhpqU/WIGUtyT5+LZ2FeBgRSmraMAxvVEj1P6I3rL
wfI59qojQX5db/JTOJzK9GOBbyr73FREs6FdFK6ZPlVACITFa8F0uCoEVNYtfScnN3z0qqBx3wGY
hO/MCwvaEN3hGSVAVjS34pvsmcCq05mp1Z/IVKUb4SWC8x+K6EKSVvwTsvU/ixG0J7CSDCsAe0n8
svFEIloGBwk6Wvh+AI6SriMWBaymop+HJC4x/iR+hcmaaCef+keHQQUFPvY/7FWPBE2a9XrHozXy
5OuEXcHkYLuMMIP5UQWSawZGtSXNENFEzU6tfkqKP7Tx3/jwHgY9M5rjuFlpISkEKfyDIk98hdQm
rujBoh36M7Sm4QWCFAzlbdjGNtGsqpyrcCN+6GAf+tlkfd2ZQNsw4B4QoUAb8cQJI6On72Zf7aFF
duRViwPhB730FBc7iAsYLvnW+UERR3VCkJfGjQ566d+aHy0YD+NrvA9v7XXkwCTpHG0k3CLTjp+d
qHcurXGrRFeqnC/kqbDh4NQpfJfmzgchhIsPSuZy2DdoWX6Ffx6XyjpUTK/VuQFC/WXEfUSnQYfm
oVcMoTBCrh6H+vE+fnGe8TGfRYB1SdN/3Oo/RU/xA7yJnE0V/tQdRVUHP97LK+0u0aF7JhoZPnWO
68qR5X0P8ErzdrWBcQHM2BPHgg509xnZeoc1iwDvgl/cXdkH1gux+b7wyDCpi7oDGKb8IX+k2P2B
zDxFT/O4HWR/lvcZFd3lAFVE9kkmOJ7LC7FA8SnPwatBNYyZ2jggIAAYID3s0/jngYOsYMc9bYPc
R9LyOGcB/yrKe4E5NG0xWF66o7iANXvpoctQidsUxrUO8Uk9w3JEnBb+LsKsbDzEoWa3L95MDBba
F576UaQAPOyzB7d6sloigfy74iBowODSiAY+Xm0cxPkdhK7Ud6JxCEtfW775H4iMBQVn/c+TEu4L
7HXG+moZz1O3p3dg2evJGefyDdTh16zB4/U3L1z0u/iMAcQ/CP+UJ2b9D9iIhc38pntsTcNrQ5cN
7UCOv+Ijtv7YhD56+oqLN0a16V6McG9qPC87RLbwA5yOEL4E8yDiJVsCsKx3QuhsGegeG5Fr2AOf
O/2tv/GfFXHbaDfrpSlf8Czch5qjfwzChsTriXmPd1dGr79D9nZ7sP0stUcYxq5xItPAY1YcHzZH
lUm/1+BOOYooLh8DfE3WxmKO2dUJfxO/3dDOW6ON4VrjG2/2TXKZQY52u+EUka8D6Mp7DRtlsk17
uglPHEOVy6aKZTZ+1yFBVE3H3qYAtQlk6MKZ26L1v1kH5JMrWu1h0LQh0cVNDn8prpxCFxiG6f3d
AYsj2+2FXL2+FGQ1evo0fTNajxuxFttavG5X8Tr72PSIS8OP4Rr/kLoQF4PlskEm9L/4K1l2T2Kx
v+e1G34kKjJy6Os5CTWhjvrjN7vbBOk1ePAanS7UPequ3RHpDgTnEBt2siei9nzbRcd5Bo3ZSJzS
Nymyp2+JIjb2LEAzoeRnwZbUHsttuCI0RbmPmziy0p6hVBiWnb6KlCnpQEtOnekJTwwyXg0pWKFq
o244HMer6s27prGJq30WmfLdX+CSIcrL08cFixz0g+geaVK+Bf0nFSKkkMCsiBF0nsFbRK4Iq8Mj
GMFWSkpPA6wpG0foP0hDElFlugPkru7GEb1uMBjCEpgRKX5foEr3ke5vcijlGu3S7btwARNlywhw
TQZS4rJ4QGrwGO8RcM4fhD3tZg6oSFQLGpj2mAaMKMSUjBQp25EkhR/zeFRu5Qml3hNPZtyI6S0k
ziL/NkFoVh1XVxC/UYD4SD6zCKNDqL52cZ2+eSe2FY2EHRLrQph6ymFPveoktQ6uH2Z1UL5VeS+z
wX3Gl/EpmdYZmL2FKUmCFx7T7GRoAW+Wdxd2LZmRIbe4KBvMbN+oJNO/Cb/5LWYS8vo6OtRM6u+M
TszLtGchA1bDBHsyj0xwkCaTw6eqQRQ9BoS9C3U6wB4S9TUdgbsxekgPpxYlpUDM3rT2VswBpTaK
oeSv2SuvBdhpCC4yT9Z8njtP44Ha0ehNQEKk1Q1crHNMxNd4/N04uATom4pXD+7IMLUBb2WV2whw
VLtRnTG3pfVRCX962DFzuMJwyQ6sHW2N0vL1aFOrWyLnTtkX2k1g6+eahdAtEUiHh90GkzivkydZ
Mw+2bFJryC9QJJiVJbVfj+egohJ0wpaDK8LlU+AkYKpcCEzwo0fpFpIhV8+18s58o2BA+gSeztNt
AEibdWy431658oHsZIxHzZYyvfLbonU6zcU/DTSR70m5qqs4YTT5ih2Loz42FNYrlnf8W0+/DOow
fvDnfM6arrgMND3yxFnKnmHljrivmnAHd+zMFZQNlyRRr6cExq8X6DVrPcd4nDkLGXHGSxXo/vBT
0TUx3CO/srkYw4TSANhDXlzzFIEoP5mdvKc+PXPuhcKmEt+56xywscnegP35gcsHWe/XcETjV9i7
HNkpOflIqaWaA3e9TVIUlEEHl2fGvZINhtkaOfJQOecZVZmLBtCQEPLDzcflXbgBnnpPX6lMnzUs
SVQZXK6ea+QRsSswlUKNHe5Z6C65S4ny00K5wU9/YiRYPx7VRhT+qMD2RzPaSGBoaCqhC6BuBtNb
J63p6dI7c4UfgVxlbX3vfz6ZT7D6LZegklbDdLO5M+Yk6UmNti4TdfS4UO4VfQwSWd51qrcMPx/P
wV9eZkxSacOXMbq31wcaOfwR9461Fo+R22HSKx5XxSLiN7yExzEGU0xpeL1t7laeHC4t71yGjiHg
GhON7gV3qfH1crhz/ojrZRKsD4mWJhSZYLbZ6wMkB7WFeC3fiHN3CFFXoH7H2UOUBNDimIM7H8dP
PvhxoUogkDHRieJwO/xv6S68Icq5uvbE4wEXzsiaVfViaCdWhUaPJg0JCq27KFbMANK2ShFYdOG/
8RB5s3VhIFTCYtDcoaFY92rsVfIf0+fBskD4DF7IY+cOuU3V5o4etFc/RzJNy6BD3lI8N9Ak1/oB
NFCiX/exLmVHsjZF7SyhP1HVtVzpVc/3gCdCBphwYc7z4SGsZwEqpzcb57R3EBKujDP3gxg1uY2y
MZYDj4HXWssKoIQQU4Cf5XVKrdRXEHfCHeYqtM7reNfaAN4oo8xV8Doeg4REB63+QAqG3RrHGMak
cuUPYvEwWgfqdcwPHiWuAGERNGjJUQY03Tgn4N6lAkudIqC1H9fVZ5D2cVVc9nKgsMGywJSrH/ZM
sv48vFAgpbt/XYv0IL3mUDwnxtiLsYZMYOkElNjQ2bH81ZMWm0Vk9IETF0eLPSJHFF261BMtpy4k
xyi3L4vlsp1Yw/Oj/0ihiXUVvVDbQj1CacNK2cQ3Sz72vP3izzTdiVtK45biwRjL0GDWfFG78Yy5
zEf4ytozugs/crsrgws3i2RDXB4iC4KZuuAi+Z93lLnWgY32FhQd2SN5guGIpevf4bcLDwQHjy/m
pNlc1Wn7zwizlwr9Bk4l45OVLrlw1jpj6Zlv0xauG3c2I3oGGow8uuogJsGCww+XJdie1TcwPEaD
bvIq20iyyyyEU2DIrix4DFjZbeLC59ExUFStldiDq5ND+GRg2YH4udW8NZHCVpjrTqGJo5myY0zp
3WYp/7MgsYOobR9M7pf747kyLUPqdgjfkwDle+u7eQ65JxInJmOC+yl04fWSuP+VEGRALnJi3QsB
8+2oWnNT+JGJumuLK4aTfPw6CR5Amc6D5zk5oOdaGKignGRlNpULufQmKzBaIDV7eMw2PpJOwO5J
GzB4P1ygl0R/ZzFa+/9k7zy2G+eyLP0uPUcuXHgMekISoCflpdAESyYE74EL8/T1gX9lRmauquru
eU8UIhUiRZhrztn72xFBClRZl+tVWfPK0tlPlp8U7+weuMiWoD7YD+zayuEpddfGeFJHLIzKq4rG
83bbOTjU5HKkdY6ADuyNlgpzJksL8M2MJeRhqsU+NrdtjaIChBbjJbEO64rQlpeIvQNjOfIuOoyo
pzbA/YPpKPV7JP31E3U2lByucyRuAWkUFaJ7Owu23AbL/WOsawd94aZCfncHg7rs8c5uONV1fWxq
NhWbBbGNhuUSvHBEVe28sHKo3GukBHolY4i2cjH8mPgfdo3zuVzX+j3nkkIrGWTYyNZ1jFeLSiFL
tsznzuox/sqlkssIVFAmRc5FggHHbZqcA+Mw9BBGf7b49cVG369tXHeNtTmXO5Ki826TwjNCd2Yc
uAz5FDLcsoFWWKhzgxJ/wqbkne1unezd6NJBiFH8UOXm8bpki5WCOw1FppPsy+FD+UKxwjBm/CZl
yd2NDtQAj6gJyCEl+Jvmvmo3aBCXK6knYnut0z9lkXJ2lU3L4ZmPenihsxfWRxkdSU015Zvsnpau
F6UEqOUxa4R11hwYqzRKTmAUkCbrFPbWxgdlBJc2zRaWDRcmp4JLFsU/JSkAUdOFOxCQJhc9T3OL
FOEzkxE5BVztNPEGB1M+JchlkpmifXuvfPLYifa8VBiRwbw2qz1njZkchyG0GyV9gLORT8un4H/i
zF0eWhvwNw3CyOgYIba2V6QNLCtp7nsF7eevJePRRvex4c7jlRe2IEF+TKfrUuNqpOk/LQPIMmcT
O6ztGUkQKM/xpih8LpvevOe2RJwetC81A33rV/Kg8VJgKGKv7b644OmBBPo9t24XM9htuKCi5GHk
AyF24K5QgCjUG0vdCsgt3Jez5IShgemPurkLh50y+Sqlc4gFCkgdBgYPhJQx7yjkcLiV4j5YIo7X
DFIMRtys1V32i2uGW4q/jJFolsvJ5j9xMTMYMXJwigBNqtmek8bIkyNaIc+RG5kPiVH/A0EIAxTz
nWLu+e/Q2dg3s17OSF9ZswArxZVhrI/PjYPOmLU5fLM1ywbejHdl7qNYxkOOIYsz7hZ1ZI96RwfH
dCnbL00GTiu/lYcYc9CMnzHwbRZLDiCrVWG8KGjJzM9lvcdLsQRJtwwhZGnj70AgnBD+W0iu/pAI
Z7Il5Y56WqZ/PKAJoCXDSoxPb38xyN9RG2Wzzn51mb5RnlD+RFmUrc1FZtC1qP72KC0oJjM5N1SY
Albk8EEU4fjO6ObISYH6r1yVwcN0Y6pCNcEuet2NHMzlsdIUdIukaSW8PANsXc/toW9qDZUw5KjR
Gi6zkyU4hUCCEW4LSyqRmzxFyTktaIXKMu7Bf+kH0Zf6wa0FMrIEEVVhkMWuGu9Jh43iBk1PFa4p
lRAadYhodCuYWmIL0L/SpOSrqbbEfRrgUR40jTsJF/9aqgzio0vhjHji4UAex7WKLcUXM2ekHYzn
wRqyNQgPG2PFyMjVQaKX0VNtOGyklrRsZ8nNtmfzu8nDjyFgkql0Zudozre97SWsa0JCavYpommw
rm5GMop4HB299G+J27dfDyxr8oPUud6ealI9Z5FDTsDy0nmeTruRys0fBn/eQvYf6phD1stTrCHW
TP/xRQtnhJi3x92SktdrlbMWNTdug2PzEKbR37/oJKWaJVPJMIHdMtWHP/8BjsCXM1nQQouCJtDy
pZETBu0/j2/fSbjIIi/y/dSiooxtExXj7dvsrzzIssLXWszHW6i6kjbTZjRGEr5sm3uEdE4EYoHx
n3+ts+QUNnUKwOj27e0j/PWLS1wlyk5+8ufJKsVu37AH61pqPQ2JIuvbO9++JMuZSW9/zu3b25Nm
Vb+6Kp3EUcetFOZqzb6Sme4WtPAnbeHfnrv94Pac1kc7PbHirW4PJ9I5hF/IsEbqUlfekLCRi0KF
EaB+aVRtyVmKbKAp2AvCdtio0jTXmoXK3D31pDV6ZmaX21apngcqMzNiMRielLcTKgPF+NNmKgQF
JfgkiRL0rKwPZeB2AB5NGiMzmraEElpiSwQEsgivBaG3vW4QUkDWhEdeLDXPyklYkrc4m2x0/DX0
kXTqnZUyDXdVx4QsVXNNjE2FpnliS5RdGpLBV5MDB6uVDrTK0fnM28fGpCBoNqIAEQBnlu26GueD
Hzp1sjW1ikYIRRKjse4nTdzV6lRudQPhaz0EIJ9YngA3iLdmY5UrF4MWWwLqc2QeE4kDiNdgSitl
/9Ciq6yoWjkpWOoq7/em3Kux0GnCNaTOQtDc5A57LdcEaZwN1KEqA0onxrV85EiHk98WXbdp+gLB
no2jXjTsyGvSdEAHtiHLINhHXljRTCfTk249kxDeQ3tNVyHaiIRdoUJXZs6q1q8BHFRyMVtL6qOu
qvvVgCIkF0vuWBm/lGq3R08fQ31B7Mj+uSTBay9mNEglVWaHAqE1ENsQJP27LDloTT0YVF5fdJe9
QwHakFAti5XUuJE5jrbxHX9gjzRTovjXCWqJ3uopUNhYRuHa7knGy8rkEwadb4rU3I26wuRFdC3s
Fhow/UL1CehHzdR21Hge0LQlIZamvjjntfaoLbsurBB7hxIiUi8ctDbKI/c6uoRSN1Kxt2o0/Cp7
/mJFIYyoVZxT343mRWXusvvoUIzhzMIesWcVpb/sjtWoan66iWuewp4JLjcxmlZx+CosdobomEkA
0qZjH0mAjWpRHIkbwigBa1naZknQ87K8FyWpdEORnbGDDeUgT20j9XOhVffz0KOQotGLBWU+Ctt8
qzUdKYFUMMXHBIbBhKudbQZj+X4orq1uua/xUkI0PXfQnWM+FvskLrt9X5nwxavyaCrN2bZNoszr
7t0KTeEPQ41WhZt3XSv2fS9i5r14wnkfOvFyEbHPiW1JNcf+JnRrIIMMb1tiGN81qVRKmJPkbbEe
UYidWjuxjZiBYAagIeoxsoW5H1DSJvOUo1QaMO8l/S9i4OgCzV3qk4ligaX6tkN72A0Nxj5sHxeC
PLQDBKIDxABW/1PwAbIeO0c6nME2Ew30lNe2L8lIODVVfcJP0x3xrRyzQPzoU4uBpqJwxhRArwFB
EuBZ0xTJVkmkxu3qdTlZOur80FmYZ9sWYmGBOAKb396RNio2bWKTVCUZGSxWe8AhBaE9ML/VvITN
UFrbQGTMBE37PDTF+2BlWNp6sZ317LJc6Th1XRIYFRAddjR9OmkVgwyPPCfC8jZgUQGeth1Zfxvu
TtHBiMUVlmYLq03hovVo5iE+JswjbifjzRxg9h7YFS+iRWQgdo0DtjaJqe9Zb5laqfoa1M2clB9c
PrAP0z6q15iG90JV5v2gF9O9EUW7pDJJWQ3zzyzQzk6BeL0rx2cBfsqG+UTsPJ21gcCQPmp+GS3I
XqdTjnOMTENZDJLVOIe+7rTPk5qNex3sS82poeSI+juMlvxK/bc5sL/BcTVQE2BVJMR0GenvDmHC
RgiM49U09FeSgwgem+d438Q6a8KSQlQzdewJMWFZVYrerJHjvhRQEMuILrLiY4TVN6WOTUetrccJ
/+thCo1hGwcugX0wtw4zCxkrK099XOn3fZ08BcKtfQbjdK8lz1ZYqpcuqEAXzvpRo59lpbH21E2S
pg5SrLZRxHGw38fJ/R6nPt7lQ/wzRTl5Lnr0XG5CLKf70nlX4lme3Ko8E/uWbRNMx7gH1I9skUio
Af0sp2pOalWBBRXRS2FJ9nl0MqZMnIUyM2w6cvCV1I48AlVeuErXVa2AtMw7tudyYN3smpkXtwpd
wNB8JMvTy2bTAo5b/U7G4JS0mo6cNs/Wc8Wysxzi7pSx2wW2RvHfoA3kpMI69oEEV6S1+xCHDo2H
pUSCdzgkZO4cpzXwwPyntQX+AEGOo0ZnOxiGfUt2iWda2muXh4MXGea4HWRlEbol97U5MdUamuWb
A9sjuzHAgWQvQupoNNrpXrFDmmK6nL0c2qhblgXGR7c7aaPO2pahpTek5pMs0xMcl98Nw/xrLLtr
Q3o4+4pR382qJGx1iZuMI0kNeng0qBpeE3vNwSu3ipbHhACF9sYmBZ5S54TERdFxRmuQREeZsbVQ
mkNnLnHwFkWFutOyJ+w/12EaT4pML0piuZ49A00zWNDXVV0zo6KdFwkVlEQpvqHHehmIH9bvxkeg
4n3mYn8oDEGp3Hb2MSv0XR4i67Ci/qRM7oPAhkweI4nIqlMg4IZ83Ca7SrbPwD4Z2hWqisJiszWH
zlc8s9osweMizKBO1Wikf6qUNNPCNvfd4E2un45sDqHE0r6NUJqSPYTyu+aeUUW/NewSlXkiz7ge
x7T4wbhPKKdlflTgaRqy7cOYOMVC8vktHC/z7MbnKbo6Zo62of81GSNiVpDjinac5uTY1c14agjO
QDf8HZoWC/Ow6V4i5WEw0aOnblv7QSK/48kIHl06S2DkenACDrmEofwKWzvYKnvdrHZEOFgYAUfK
AHO5r0F0EbOXH8EtGfdm2n6JTm4bjeVG7VAEb5z5LQ4QYtS4hKtp4jZ+J0/NM0LSH00haTcL8i+U
Ob2I8TzpcXTqK1qoTqL7g3BpENpsctiGd6XJhhf47nosyXcUkf2riV2wev0vJpwHC9grkVIQJart
wH3qVUFgnio3O8KL6nCbLzUmtXwc3bjcJ+jgpmzkQ2oYfE0K9Dp5LBjTdPzPVu019cmMtflqx319
BkxAWX9iwUKFwIlk64mxuuqis06pS+t1xIiTRglO0mQOGJvST6cMkhOQZdRBSbq1LJOS62hCeBjU
cjfYm0jbsEciLWpUWp+861fdSq9zP1hnkTXglQiXZKVnsnrODprGkDNOFPemwr1LLU4loIiF7ayv
YB3Q51SHamOJeypmXZa3bCjqHExAcSZQN6ECTpTcYIF7zcL2kEhZv7TIFv2K/jp0hwfLaihfGBWn
jLQndoJ06WtRUBpujALzXvnYJT3bYRPDHY6uPZBpbU90zV1bq/GuT0iJYfFN5cxu5RNb02rbYsNG
DszD3Mk6L0vN98lF7hYZzREGIjeHId4bo77mpe6igJq79XLzWOnksXnk4JqWsWhyWZIquV9Y4+Qb
HZDcOmYZoTAyZX2zGUrqIMRXvJesfT3YPb/zhsCSUR2IQh6a6BjXOzKul5JqyDCmc4EHtGuzoRf7
QOYO0EAo4xbDJNQluLAOXtmgfdIhDUGZpbJbaiWhuIsNAcFnIUxxHIP5oqpS7DTgEDv20/owL6sC
pOtpqPqjMSNnRBDGhvog0ia9h5+WbKOe5nq62CJLEo/Rz0/6SQ3SrcilRdWM7A/XHPfWgP3IsXs2
fdAQsOQR8melKTWpIF0ZYtZZnmxJLp2wfk/hi2MuCP4Unm5SirfwLbOx4Ccs6jeWDXS5JbYLE1zB
nKepwWWy08UvQPskMLNnVaUuYhlC3BHcWFKppuZnhPmCQ3VwyuuwIAw79JEBJtsqmAuSscsjPsbf
9WTHB3cuYyon7XtvVftZAVqYd9ngz8AQgwbltmu3xaGhjFaEfFjVCa+dzsmF8oxxfmZjaKrUqx0V
GdmENkNJVNMvi/ZNUYjL1DXpsmZJmn0zIUdnF0HJKUb1381LqN6G/etFAdZ7dtTkqhmD8sR2V2fu
/Jqbtl4b7VFaMRUbh15jrzyUhb0PCjYKdk9Xk1yEbZJ1dNEL+8JmaFOk+teQRha6ZgDZiZEThQje
Kci7N9K4CeQMTLZPDqOc2e5Ku6kxUJAwFPT6QEMCCBube4j2DWMLmMeWTr/SqME2reFkZhmnE0vz
VpkX6ORgLrtQVR6mVkc4GdIz7Fk6FxnKUKHjPhFDvrfzTr8zBrmXlEdkGMRn4PZI2926vnB9MpwS
n7BJTGIcWKex3LaUbw1nwdER8dsYM60SApYvVws3NEtY7ENj4TcC/Ciy11YwjE5WaK2q0HD4D82v
Uh90r5uad3UwG5qKMbdoVVH6m99ErD5HCa3CWdKWd9whQP5Pqz+Y4MgrRf0exbXw9DGkSYnWvK2Q
/0c13Y8okmy7gNKNS4atPcit6k42fY955XwOUOhXU1Qh1VCI8Ov0JvOa6D6bp5d5nrCQuRSA+zK/
FG37PEcFoRph+JiZr62UX2PiIqKN2EpWlDk2/LnVSqN2q7XqoR1z3CEoSEQ5oldwDoSwn6PmpAv1
vZlBMuS6e7ShDUALtxy0t/KhdXN5n6rDb33ARuKYuEJk7Jqr1k7TRzPO4Jm+VGVpfs8GKQ7pfT42
9b4vZtpAybg0nekEtS7l1tQ4j0xIHtWoH1m7cte59PLg1khm+tndQlBKqSyiaITf8qHMdBaENXhy
wnumoOHzRPrKgLXk/MB8pEyUHCsZf5EW/13ZYU1Vt75rRNCfCrSUklnVnp1vt1WFZy1okLibXz56
ByKw2iuem3OQ4FaU21oP0AF4TRZrd6KROzvN2dMMnV8wgq97MUKYDfU97HMW/NF5ziEjutKmdVHN
uxG6xnqcJmwHwIwpu+1zoMQbfTEmDsRRu1NXURDv6000zCymtOqKx5fWRc29S9TFW+G6v/VcKf2k
bz8LizOuxUG1nWbrqmeCinRCYJPCqshmb1c5WGlgFHNTFGSwNwjGRwMSiItvi7PO7WNEm3a00Xqk
JqUCCXZN5/ZcKcR5EwVffce0Kbsu/zGDIUQhjwe1QcDMSAOv8kPJkROJcJ68KaOPHNOMUwyCh9rm
sxC4oALHn9q63DdGyfBqsJULZPTat+3bKOf5mpl3bo7TOO2VbAvzo0C7CFRJUVgxt9TSXV5Dydp7
aHGRHw1t//9Bb78hLHbT/xn05gCH/R9Ab8V3/FH8S/QecLjld/7OeTP+ZhOJSkoeYXmqYTlw4/4T
9eY4fyPyhJggQICm+dePCjImov/9vwzxN9t0bVWlGiJIGnII//k76s3+m80PXOBxRPNppu38v6De
WEH+a46QCeqNfD9ezjV1UiUhrPwr7LbXIIHO0aiAePNmo99mlr4IFeP8GkxRugJIt85YQFzahDWg
lVAzNiYaEGRz3pPAom10Yp7Z2wzIAGAvKh3rcjJ5iNagydA2H12bw0VKtU+SWSfQ6OK+sTTjINP4
o7ajiApQhHqSyeRYlhQXs7xHTwqulfRndAXcn95c0iQl0q7dd+Nb1wNPUfHRVb0uj9MAsdTRmk2a
1wEA1gWHnZcnF1IkoGB5kpOb4htBxQe88WwCz6OvinCxrpPPSetg0xlIqVtioCFiULzo+gelCbCp
GO3KjlkcBZA31z143k7XnXWg9RPSfTBEpv1eKmPkTyT1hFVDwKlirPgvePDCgcwCZIy9FDjxWq9p
SkwQRvFtWuavhDw1Cu4V0czVj6QGLnzaLNmxL6kWcd+TjxpRPktye8u8m6wthbZpEBoc4pG2rRQU
cfAZZBTYlmwchAxVvlflR9S7v1OE2LVmgwhF8lmIqxpm2rZmdABIXr+YxOZVFVEUWRfBLxi7i5H0
p6YnAzCOo7u8MRDJlMZnaETdNTIs0GOpVe/KUH1UHsklZjXWQqTS8wpRVdEfnEh4lEDcixuM6n3d
/yTd1dW08HWADrKBpI9wyta+esO2D4NFdl6NeJV9z3wx4Cnks/0wkWq9nnLDutbZfQqjyZYiQXyT
MaYt6QEtHJV93ikPil6INTz9b6umey5nlBGuSec/Ucjqju38oZSYfSIhZtQTbFATcEgbYev3rYOE
FMoR02SVfQWlmx0SmzyPgsFZDAOgJVtpd7GjPMfgUdyi0e+jCJ9CL3OYIVNYsJbjjy5oircv5Vha
ew2PCvUGsdHLod0HNiUlzapOYmw8UrKo6et1vxrR3GgmGShEwIUXSmuu1wdEMVPrfxzSsnplepzw
lzlZ2G+qrDTYPkHDkKExI6gCaT+TEj+zEKfYOiGY7Yddp8QvaVUSsgyDPRixphL16iuZjZNJhYJn
uZO2FmlR+8yAqmkgfdaVHpiFgaUhmi+W+W4PxvjUo4mDAltSHNCmfQIF2ekVdTNpyrZlkgerV19t
SrzrscBTDekZ57Btn0RJrnebmSAkyL4Z1Dw6xWr7Ec8Wc9SEfWsgn93t37WEbf+ErsOJMZakXfWg
OKFJTMS9PSTOJU3QaCUJgV2mVOG/2r/TME72Qy43wczmQhg2lsku/FQQ86ftFJGflH/Br7tEujJt
i7HZaZxv5JARIw28H9ja5kqlBVCgN00rMAeCFqwOfJvdqkG9fZioOvfW3VSoWH2N0gT811n+sESK
0KkFUvmWTPUx6R3ccOiCemf+KjLHgIBhncOkQiw5Vigxw+6+N/vfqRq6a0XrUITERDWZyogBlR12
R/skA9r5UJ91DpfRwSSQRQ9XSQ+BZZ00rb2EAshYOF26Woas++kR5AAE7ACFVAnszq6W3YMZOh5l
+Z3skrOigxjTLZLYM9kfBFFOq0qUCNbIGCJC6CS4OvZjMe4QtWOJCi1q3QV0isKe1kRL5ytiUUag
kWeDyF4vdnVl1bGhlUJ/UCv7lwlOjNZbfhyIitP6GFBF+qoYVI9Ynsj1REQO2zuYiW4dMvzBuUzx
brojjSa1KxgjLDxnqvsWDaPpFQKn26xJZ8sS9SOstYuMIxaYaQk3s7LRrJjKJkpBXQzxb0Fa2b3r
FgDUZucpl0oAy79zHkuk9yEtra1ehnfB3D+MMaax0ALIJZpuOLiM44LlGRL1hLUZBRXX+QlFjJ5I
65+rbin9xL+dbuy2Vk6TZDBrL1FGk8Sj/m3OkT/P1hvV9XOpZg8UoR46tf42HHLuYpl3vj04pyBj
younviPy5irU1neEShu9GlnjK5VENjnizu+34azSQaAdUqkXAsCray/s5yIS89kR7YSqD7GGXv8q
VIOKulCIyXMVPy3nj7FOqu0sot/6XI6nxP5hpwR6w93DHK4RQOj7qRJekYj+3taJwKYQpwfJ/GAE
jKFaGnj92GschWTaNTNwzLqNwQAM5jUhX2hl2vgx1Qxn99wAPWwpr4RGvx5x44YgOzVFVa9WF6z0
0aRclPUUD3ulQlFG8EDrzB+BUSSHtEpfyL8eLm5lQvujAmpWY/WQjyyVUwf3m8FoQKeLhktonpu6
uB+0CNl5y1q3p0q9KholA7JU/a7cQj01qcboH2sBOyV83o3VkEWTrJ1cS870wmGMOFq/NXvqDhlM
nAS+nG+Z+rQWgVsedXX4nHV6YEmtvOhW4/WG+ykp+3pdDRjfTjS6cbmBa6As7hTTOoiQ+TZ25+9U
9p/J1BuI2/Etk0oxHRmUDkmoM4/n0ZGMz8cpcceNQhTaxqCjte5nAXmlq5/UlCUOa3bIJTqgOoGu
ZqSDv9GK+amuFgdsB2U7Zy4kKmZppap4xMVTVLnoVSaGs64ak3OzMOwsxdqPTY4aJYmmdZUC+J8T
oEKj+NHGpto6lXW2O3UXUlbdLEB4sJ7VKs2ZoOudO4tpl+ohxcfKYvVFksQW1DwmsCjF6N459JsL
mnjTW9tA2iQaC6BemJ4JSd7krJ+ObPjvQuqZmIilcelAr+1tqX0ENZ0qy+7tcyjVaGUQBLk1bXRw
qgGzPDTHU00rYmMST7Yy+STJU1m75DqVzfdII9QvRflsGfV7V+k051qmkdDQLazph6nssse4a/AM
Gg+OoEVYKfkrO3UDBTIMvCnD/CMJwRpVetNpNSqepsyfcQurUCTFpSFfmdkd34qIjRetExrdFEzs
GTGvzQs5y4GyLZ0cCRPosw0kDsN3OmA4icy8PoRVoJbzVzTQ+NFY6eGL7ZHzYSqt7JwRvioOQ5XW
22rCI5TP4pfSdy2LuIaBLQ1RN2WYKibqvG48rblR6jVxCJtZ4GoslQqPjFThbOJeLTFWMUX0e2nG
A3k9GiOtCrxHYQ1SzsmLo9eQP/JzpLiPcdpRs447SYF08ox6gFHTHvPEmQ/dFGM1mZHYjGwqXUoQ
DPQjODZ0MIPvZI4vhcBoqSSa39DixvHAKtAGk9Ih2tl3wTkq8+qSGirFEOBVE6v8lZmjYksM4MzH
IDLr7aioCDCKR81G6TIWDm5bvUEjYk9oWlxNBTZaQf33RtyruSJKGloNcqw+eIqN6CkOKCJMklij
jFQyKkpGU3pdiYHVCeL+QEBGfzDJDzgQAYOC4/b49oU1ttiDJNcHF4JaYzgVNkkGU343QWrK51VI
EECYZIzI1wYCvG8/LuJO9c1evda9UR2YRerD7bv/6uF/9dwoNZveDhq52+9mTdYgBLaq9X/7Krf/
F9QCn7019uQL9Qp1ruXdb1/MNIeZ+Odxxxp+EzkZ8rM/P/mnb2//8/aaoaUTA+M0tE3/8WoKcM5V
GJYa5SgWU3+97v/tpxQh9BazwubDLfA+1RZgkX8cpb8+we2lUrIgVrmuuH+98e25silQZNmpg0YM
6hopQ+u6K/XdDbpmNzqGutsPyuUKuH3XZtTw0VtN//QDpBrz2l6uMuJ/8rXouqVwPnNJkdWQcJq1
sTzcvgRJAXssBbNNxPFhGer+6cvtOVcfIzpZqbbKi2Tedn220xYWXK/UBQgSLE1dRFOotbWMBmxR
R36WZ8/ackKjnCu0WwBvLrlXB3WhvN2++7fnDMPBbCT77WSzbjlqNdlKIK0PxpSxAjQrcBQy5IJf
7h3NXBhwasPuNyowh0c4t2UcYwIuQ4nelPf582Va3rGknv1Pz5Ez6mfIzyjH58VBKWVxCGepYOFN
T7GjF4c/z0s5uv5UajiKg/zQ22STKlS31rdfciPrIRIFHkTyf4GGhzX199tPdBsumyab3e0PrpZj
ffvu3x5q09T7s3Hkij7dZH/LX5AtcaQ3Ddcf4dYfcVcEGX3lRKjrrXaqD80iV7tp0G4P/3qO6w7P
wGqb7u8mfz7cgaK4SxouNGSghv+quqttRuejjR4ajwD5U7Gyz6/joViF+8mvN+0Gvw6oVXs39OvE
9O/mw+vgb2nOrCx61V6FXi05uYGHqS543Mr0kJ8yZ70NHhvPvAdo6J9ACq9hKqzpJm3nQ7tBSOf9
Wt7sxOAMeuQubTavibM+LWCp18LevDqKb12nL57oN7whnIFHkzJH+U2asZI+cmNv89Nr8NhllA8g
ZpGFR2bmId6zCr7nb8MKyJtveW2u7R+q5fiAxWFeDxsEPAPZ8puy2VTuYz5Dl+ZYULLk0w1vcX02
iiuHBe0hCcal+cXhmaAHzPPeNd8y1tF0/a+FO+CuRPSvHeoWsq6HHktV/LaHr++507We7yz6B4CT
5j1dQhY5F947OGdd6GWs1Ie7weeUCHyxNLyTU5buEJrKH9hx1Cxs2IDRWsVjPUDv3Kan3qESvgK1
1pB1k63wYjMpIGDjY830R/Q1GXVO6PEND13DJ8YH4NgYUSFYdblnXIkBVocjbUjydzkJLAks9+yw
Yf6ik6chmBjYDu/Euww8njWJNh/wgm2a9HHooBdA824PcebbBTlwtzcbL4LOFjmJb7PhM36k/Zp3
h+qrWJt4b4UYp1Z6tlGvM/PaeUnNjTFCstzo18XkWUhHqFfTr3MenWu9d5xrFtwxY3n8Y7yWnrZl
vNPuF6oRnbpsM3fb9GWaAKLpV8xJ1RosI92Nh+KsibU8RweFTwrhaoW/G/ITCkDnUwXkhMqdhtE2
+lTvMrA3w0b+JuOpILUD/fZL8MCouHI1LOgfvTf70ZPcxESJfO7aJ9X3SK9qT7AgmjMBKG7+uyox
ZezztQ7oJ/ss8nMyoHZIX1DKNcgZ0vqsPvQrAG0bdeX+BEABNybna15fqnOEiftSPGfVSdn/GNw4
9fBL7kcAGdrOhg60NxkxqgCA0MgVLSOEX2Rv57qOqHZlZgf9Z/zR+ctX5Sn54BLoTcVX7T39mk3i
9Y9QGmFVr5sXkeydbpvr6wqfKz3pF6u6dxcxa/Uk8m1Y37fFL369a1bQCTke5GS7K1DqnHXBHhvY
H2K6DDD6leuRU9avX+eD+rXlh/0btZJ3keygR7N5z2CWe1xI2bwrflyMPcifH0QFeO/Ke0M3dygK
/nD6Kzyp3DfVmhKiUZ25uMJoE9nLW9IdnZ3HYj5HL3w4XpIbIuLE2u1DB5ICWgmsTx37DNRMkJI0
pYndxt5rslVBWnw0FNQxj5P2o+AZ7/oPruS2ISdu4yqnKDxzUWYg8ulKGT5PAsbljzk67SG7HaWF
qOI819WTW331+jciKJw5gLz3ZbNX8aRR2Gp8XjJOTkrzCYPV4AVM5xEYS66dJIt7CZ62EFsxTDvR
f+jBnSQ8mFs+r+/TCcjD+F4Xv1QVbVx5p1Vn53EWhxqRv8IZGbIS/MyrKFCjJ3vJXhzqJi8Rld+v
SMFLUt69sGEhtuHeoxZIKh73ZOo7K857r69BX345YjVBYN7385377lw5wxo4yZ7R9iNeO9dudYmj
B3M7fXEHg4BmeOI2YVgYmh09VJtU4etgeB/6PdYJTCSIIsFWzjmjJ99xOuytPEhvGbsZY39xKfEe
W3HovxhXSSnnPPNL86H4MXng8aecipclY5l+3xo5PZ80dD+IJdMeld8Nhbp3bpUWheyX6lcezs1m
Z6SsyS806R+tK86029AU91udgkHu6QcuQv6S8TC9gV65cAyou1HF2M7GWy82FqHv18kfiFB9YuSM
T5w4IJ0cLbt/5k8w+M+mvZYeeqI3Z/QnP5t4c0YfhtKRe61H8MG0GOzEQWyXmcMg49uL18C9c694
YbD8D8rOa7l1bLuiv+LyO66Rg8u+D8xZJCUqvaAkHQk5bWR8vcdmX/dx3weXXdXFJo9IiQSBHdaa
c0xaPPJEpcoX0+zlMzhrNzrY5Dcwk3LWKzezWec/ynvB5K6suh1fFmUc/YHYQjNYZlt4iLw+i9/f
zEfl+I2ORP2SAe8L3sWoLbiSuBzlr49fqKQw7FrRFgEyVzA/Zai+/3kjWyvOvDg45fzDeScTYabc
nAvuhlcsn+/OhemP79FZc4DCj/6LO2u0RkLOIjgAEGzQG2QeZmJX+aLlTEg4LjiynXLrQr4pzg0j
P5PyPHORUAG8WE2XiW+UU4v3Cutonh3Y2HM6CABtww4fwZqlZLKVH3mufn1w5jFdOHMUy7vqwPzl
kvW79i5c9RMzcb2a5qDTLxm/j/lg/eK8sw07lPzisAfKt2BQMNbqg3JUbgQjMmiOs5f4eZh/cRDs
R+lFJSWEiYQjzl0+Px+Lk58ptNvJ65QA7CW6+XymXZheLHthFc/ps/7I11gcmJ79R+cIhQTZJWPU
2osZsjhWzpHZz7pwleHRD2C6hvle5/ub68FSGTf8xWnNVIZ/Fsvouvc4ZzhZ2JPySoZK6qwrRtH6
9Y0Xs0bJOKW9bM9QGWzzaRMd+OIZfNJnhkFtx5VHv+TAJ2MMeGVyt46IWmfGO58GuQNzKEcWet2S
ZBb+lPP+JuoD4Y7KOzdUPEdsLovgidM+247BEtGtwgldLvleMFOTD/GRkzrMPLltliY2UXmy0vPh
DThrjjAZWwb8JvmqQZ6k5FFwmqU/vC0mf/4EW/Fp04pN6Z/rLy5r31nzrUCzZ8oeUWDhNWNcPeIO
i7asopQDrxwhf7qP8iw1l6m21jnRD4YK2g199GlgsWCuAGv9UIt3We0FVwcGJH3c4ZH6QUjhtb1J
GSBjavUuFGA/Vk9CGFNcdI5HyGDrFr04DFxMajkhCltZ0+esb7CF6nyTsxJuhUPHtz0qV6StsFI5
xBboKq8+UPzoqJWEdc3zRLsyO3ufhtFmwgSYbRtnRVMLMHZZnwVGHPuppH2Q6piCtbl1/HAf2aTP
kD8zNAxykNNB25A2fQqc23msXnNYxRDK3yV5UqUaMA8AbyUKQA24zE2zdfzpIA++lt+XaKuof3wh
xM6oViybyiXTqtvtkZZrBzt7YIhyKEv0X8MOOLYXySJACdQ6fmM67fk1fYSvM5Yu1QOJI0t/VXjH
sni2yDbfgVZJaYhoa99f5fnJG5ZmJ08DtziWUCj4S7eg1kC5g6tYjeOZlbnaQ304hpyurIhNcIcq
WB8Gf1aufD/X4EiIkIEkL/t22es/M7U6t5gdJSdwsDS4TsHcPVSsaeQJdiDgkj/++MU5K8VOMx47
2YaI5/6M6rN+68Y5mObGmmnqOrVWxJy0W3WLHZrBvN3EJtqnFXMgKvfQPTU8vAzuSVPnST/rvIVt
LNfrNYNcI67KTQDfMZfFK+MVZ8CAR4ya9rBqvWPGcihYROXRjBZAf9cFmkZGAYYVZJAUwEjJsbGF
y9XKMFexwa4NdamoT3235w2z4+DcWoc4K9jvML1KoLNOCvcTsmfqjizSmTHqdqOdoNmzNkhZp7AQ
7pmg5sZxGHH6LbJD/TXUP4CHbeVCdw8JHnpxa6c/ae/VgovSWROnLtNvxB5FgMvSmAEZ5yWmE58q
e6oO54qKNHaejfPpEflUm+FbpQP0+gjAQ7OVibzHNAYb+5yseWHAFpWogOsk9hwKd5u9QwIcnJ1p
LYj7CNtZ2MyB/Kbo3B+ii7Jkbbm0OLk2LGzFkhOwESmbp4PKgsQ41m8NlzvEc5dIq1lztTe0LFI8
ipj2Z+UJx/4Xl1wRL7mIY8TuKr9bkim4HmkzsJDzcCpuqXwNYGqoN43U40FNUB36an6Yppy9ly+x
HykEMc34ckPy1ZNjES8CZZNqcwJ8jxQfaXbWFzWaTxlM81m1o9NC9yRcqRQQWbpkypzkBrVDv7RE
yS2WNi2xnnKtvQUK1PbQFgdBo/bkGmf1rVLkKTRwKZMb1f5yvXB2rhRYCqsMYjv/EJ5BC+Xtc0+n
28Lq/oolDl/eYByVClz8bmTn/Vz0M+s05itssyYjP8jn4XUgzl1v5vVCbfG4fqODnI1vrTXXynWM
n42f0D0i6CJfqVC920sTPiAmoaHOR8H9VOabgNWzvXCKpa2uEEk9Xb15vQpP94WJzq4NXBgUeQQ7
V89aZ9/BbTwz4XkooaK9qUKxfyqQ9CTBhuRoEml2GUrjNj/EBsuQNayzXwFF+msL9HmfMw2CuYMO
7kFsfvI3bLrx2rehUSzIud+psQN9rCFJvrtY15rCsLmI8UY3XEmgwerq3WH8qd6JduK7ZucUwjBk
DTvzxNy6+hfUWMYv1GjZs/9uKgwZxD+AU3lEapfPrKvXBrPyE61+l2/Lat3TjARQOTOI+fKO2rt/
8K5NRSYyeSqclt0mxpRuvPM1m902Wrv6wW8YX4Yd4w+nAgB5lqoK+SabyjlYzUnQaBf7sbtE1jno
n6b01eyWRTiuw/DN4A1Q0Z1BgcnMCpsWooODBtrmIf2ajEV7yd/69yplKy/Jx4ySe/yni+gwLoCy
eLv6wKwMgLlrZuKT/4cP6YN+a840YjA2g6ugGG13D5BqkT345gIm18B4ES+VY6bD6V5WVNoQHnww
YhCTFxMwBAmIEm2NJnkJEOgAWWA97qSSD827/04m6sE6hIxuoMoDjZEQpSHLgw93fQw20xOIHCxT
XpgTy/c4dFs8PoH9jnoBhzkEmh36R9bK7PfmU/iBDemsUiBclFtzXrx7K23FmMlkvqyeA3fhHu0b
RZalTmlYPZoWO4wdpGHwVABT8OXRaadwRx/VW6FxLdlfbcKVxhoFmokyEynOAAn23gcs6L0HZU9a
6pY2hn0J9rChb3q7qWBSrfFDWRTmHhhNzbfkOOxhbxgbYD/GBhv6lQgLKLkhwxkunxm5OA/agoo3
o0LC04ZDkdPr/IDvS1ZCPhev+RZOSQwDqlqrMn5hLbVzu3JtHtotWsLq/OifAFscnAeSuDHbPxTL
Yq+Os+ERvbGyDFmF6ofsZ2B7B3B7MTxFS8yBmBKmV/steG9vSPPUcAfzGI/4htHnyJcFJg2YHgzu
StL+yhftCou/gH1Gvva+cJcCfBsZLiAJ4aUBpkJYH61obfXKRiAEDlhsrYsjjBU5JmI7Z8w/lRB8
t86yfo1fGEUh3hG1uMZf0BjbKGb83hdgiB0JL2+r9zJ6sqMFV7F2rczzWMochcncutoPqy5XbFgj
qALPFgZ1Nv/k31ENVWdvbJ2Y/lghKJ3cxGQFog8BnYGWsPx/AcxQYVG0iA/uEkvMMgB5s4VykzBm
7sNhllJX4b0E2wyYvIslDt7OvD30rw4SBNa07kt2AHVvuVi0x7V4QaNQwLNLEYKTCFAqe5pZ7Kpo
6dBqcxEGYWydtRfTXYxHHVMvjRkkp/ZMhQ7RbPN2ow/SQd9rXK3xjeUmO/TxNcEFPy5Z6pdLxyOF
4kKpX93mcs+OkmQZ8UcANSorqhnKcVx9cBboECeZBda0bcb4HUhSOscPdQo3/S9af+ya4PU59E1m
wS3t2Hs6UNbIekBiMYueWwc8ycY8FjDd5Ogd3AD5MV6thtfkJ3ppSeObFZTfF9qXRfVk4W1I4vDB
Kowggw/J+A6sC9yGgWKCcRxIMx8HKuolgP1NODraRP5MftAqUPWQYmZ6faAcoFNGIW17lm5pM6EP
onyAAogVAqM8ig4YnvFr+QhaqV5D37Y27pZF/uNUAeqCliF9KSu//CgucBQxxdvJXiLGpoV3Ch/A
j2n5Jn1xmat61KoYJWf+rzjXlsk2c9tDbVjGnMOYQ5LbRW8oEqkUGXL3Ej532rrFkw7J+IrJCHLH
6FVv5TMl1a8mvrDSUtaZeW6bRWCevGKn1ZSEoUMU04ahI9l53cwHFddt+5P24sK3mxG4wPYeih8H
tHtsXuy3kFGUljiYddy0QJSGTRCfkxb1GmB7du7fHAF2gT/ZSS++LThujXkwrgPriZsDYLw7Jh86
+17yLjhFUPFCBs/mvljSJChoL7+Un+Vn8eUdrZ1gZ09d4wG5AGoBo3pMuaBbsJazYclS5TvGMAIQ
OToDEdxzdkQbpN/u2noYyktAfWHX7FTtxz80BG6UL+VSrsoe/Kfc2AQNkG6JAdQGZPT+d1VDCCKK
Hdp4/5SC49RvbtTMvpsZITDTJgCBmzlL3VkqSwI/2KLLr4Ut47r7JGwaBB07HmMT0nTbk5K9GdAi
zOVxJDkD7j7L26N3AugG3LU4Jc4rCCN3Ba8OhekM8cbj1TsF7/SrQjIE1Df1kRrb8wcNIFuOts/h
C0so9MPg5OakalSEfWCrBccHBY5hvwM8i8uUuviDwUiezDyKn+QC6OzjoVJZL8MvncLvu3Etbv4W
rJjzEu2GJ87E7yo+d6hwq/jZDHbO9clU+Gxf1Zx8kpkjce4QEpRTssM0yIzMqeCfgXIDlFx3sBsl
IRPJ4uwhCTcQpXX1FZjfnIxW3KPgq/VL0/ubpN823pNTKIdGCc6BbAAF9+Sf+93+ngckRtaQKoDo
oC8MOGjA+nvZ9xlbxUHg1dH66OkA3f/Nq6J9iY5nncgWVjhOOa1QqerSBSXJeOoBev/5k0ze+/3Q
DPC/xupTo+awYmR37v76+839qY2JrYJR3wpRW1aMA399faILbRv0u0gFP9DI2Kn7TSAf3v/NL2Wm
VehaHx6aoaXNdlj6iX8/9Z9eef+BJXOdfj+lEKB306R+tCwX8Z8IlzRqNxgSK9L8uAnuuVn3uxYN
e215v+veY6kczMdQ30Cm/vn07s+3+fvfvEAGbP1+fH9Olgow3yOB93997e+Hf9wLsxCGhPytv3+S
mKGBQoap6fcPXKPhj9wfFz3rMq0ky/z+kv/x5+8fG0UoADkZEZaQFebqXNNZ6XVLlFEUv2QNV0aL
dSUWckHMatxVG8tywhWdfXWtGyS1ZvS8opja1WQ8affQsv6xBuTVyjCzxDC3Ci6eBZrumYDi2jRM
7TYJaFGg4N1tiJsiGc1p1mOOjrJRKaMpYHlaKPeG6OcGLQtPgRYeyqC1USFrEy1vjkMMtFMUu+su
0zQqxp256jAMqQJZQeI73sawkMmGyUsqg93sGh8gSW89iW/lXeuTdMBbzOFmeJr0MsSPuCb3mc/y
TCU4jvy4WAOj6QEBZ20JgDvOXoOAdQpVjp7Nm+V6W6UGtlPA1gz7FKi9IAeOvDqMIStTA4xnkGQ3
fZBzvXNaQAdWrOzMTNzKSPlQyb/LLVDjwWffERhs5OybGXBIy5vusXkJ/jClIErPJlPPadG92xNF
HdL2Bhm7N5C/h9QM84kogdEkqCPZAdB9ZRaBihcEiPVKk4IOTnflGKannoS/sRmw7JX6L5QkRzVw
SOdEwqqTCjgkX5q2C/r0K5eRgbiZWATIGMGs/Qlz95M2cr5vVYIGCxk5GMrsQWUzkStHEYrtdKMj
023yF4e0Qq3RYGqMO8Qk2yyjzzL5B9KDr/jtzyMW7IjUQwgpBBLSERJQr0lFzEgkEr3NWozh3heo
Gk391nrrzn2yZahigWOstUg8st19QM2T7EUO02eN6E8jk1HT40+T1VY6eMNs0gAwm/O+pOqRccwM
Uh3LuAVbT8zjMJms9pjjATHKGMiRPMhGBkMqgojIcCIgpSG1dZTxkZ4MkiyHSyWDJSeZMEnSJNCX
16wU1EG9lmoqaZQOqZRagB8ubJV9T17lYBY5zn9nPcgoSwvQvEu25WSysMQ2NuLZiH8V2dzUHXUR
ZP2tdJldx8aS9Jx62HYJMUfogWACgsBXBGF+alqeolp9m0pIcpXuKovOYD+Z6c9DqxXbOpve8Soy
pOgaWpmapF8H5DrawDf2+nSfoOqR7+lE4N09Ej85k5aa1jz7JIE2JIL6dKUnGRE6qcNtGLp9R3ao
sIHMul0WkLt2HJ3g0QnzXaYZkI49yh9Gr1+HZyHjSFMZTBrTyyz1BqZaZN4MGV5aWfpH9aUa3k+V
ZGSbFhyuoeqYZMe9bmn+qq/45d44MnkRotlYMBWUirzU0NppmPEn1V+h8PVPiF/3HgGr2j1plc1D
Wto31OQCISbq27EKjlNnfdg58oWhYB1NR2zKvAoGDxQjZyx+xZARRt9oHxK1cAmcOCF+ftCqhPWH
wBlsBv6Pb/TxoW9fLY1hjuTdnZXa9lIz6G6HowZOSXjwrLMfgcOw8Xpmcde9CBlHC5tTJZ3WJKUW
tTP5VoHME/NBtMZk2dpYXqOW3UWm9wCcUfTSsabZkbpga8vnVMugdFrTqVSU51CG5Va0zSPbA+up
qG8VebqEttOrBN3YtvH72GsvXYj8SxdNsFYVdsxRaGFOIKG3ScAM+DIgoga87mpAnIHCGKT6ZiHx
vhE5v8V3J8pffkOfx6IBme0MGQlcmRGpJA7sD9KCWxuGgi4DhB0ZJVzEdFxkuLBHynAh44YtGTys
MPZAcMEJiVzyHJJObJX1rcr7E8f8NAl9U7GgHdqYrqmivgQuRa/Ee/LxV2Uy97gsz5EJNEvJmRiE
M6kzP4t+zOHRKAaY6oaNOaIIz7ppJEiDUyryKghHTzILUJjOFatD0WUTGWwmWPG69EspXDD1U/Nj
2pS3KpnfTI5zIl1bjRF+umKKt0iDh71D6vPI+J3KGOgywd3PmDQ6zWPdRj8Njs+zBiBMTAFqddPD
7i1nQWQPxSpziZqOUnKl47p6TWQMdU0etXE2qISQPzoLsm9LRlb/sk3aBVX4ljafNlSmuakCAShG
FQYe3k+E+js9uyi+ILukqk+oq6WqlIK6VkCm031BNANhA36TPSth+2nhUYZ5J1tdslZnkoCWpSkx
FwRxA064RTKaW6E3iexTJxIXNgp9T7K6Fz35VSk0rMGBuSJjvnN4Bb0M/i4biiAu2t6BTHBDhoMj
xQV37PeQv7xxFpmkH8go8XzQazTV1osqVFbsMnC8lNHjtkie1En/KjDPFnW7AxQxyKjy0mL1JMPL
HQ0fVywDzQ2SzceG3Wcow84LGXveyQD03JRR6KQPGjulJSjYp92k0mYIfHLFSzLUgc/4x4CSI+Ht
2cIxxi8vpTql1pSMMjLYlY6CfuKesrbwF2HXerxb+iS5jG5HJUahvSR8riZOqTOhqNk1JQBX36k+
pk0tGoZF5GOSFRpJG+gEl3VbfmmJvbn7pP7ta/j34Jtw+nQM8Mz+/T94/FWUoyDdsPmnh39/KjL+
+w/5mj+f89dX/P0YfYmiLn6a//VZ6+/i9JF91//8pL/8Zv76P97d4qP5+MuD5d0Mdmm/xXj9rrHA
3N8Fn0M+8//6w3/5P1rKPNf5Xy1lQA6xj93f0fbXf/6rZt5f8A8/maf+TbMcB5OZaTjWn14yz/6b
beq2ZuuO5jm6bdn/+i//7SUz/maptuY6puF60kr220tmqn8DXuPBs8KXZoJtsP8/XjINYxtesT++
aflOLdUj1x2hr26Ynoqc1DD+6iUbs6bpcidyd5WRvDBZIxDBzlTnyrytPCLPfJSx+khHU6FYEaGC
DUuL2vSofwASjJaKxJsACsJ5AfCkdN9DCUAxFnGdRLcIWzsL5x/EbdFmlMQUh24OABUTkkorkSqO
hKuQyQzUzzX2pSoOUcco3/Y3X6jUKHJCF7CmPemqalxGBw1NzZhX9vkuCqIIFa/S4w3yuXZ699Es
oSOJBkNKghwiEO4hENQ7JCLGkrAYQwrnLd9sVoEwlkrhQP7UwE/lCcjENLVfQi9WHwqdGLLUAIEY
B9PJcrRFbLN/9UvTuFS5/e3Y8KPqsPuOrIb6sbAOkdcMWxPeDVN+sHLSmuavjwzbLAxlb5rjpu2b
tz4yQOyDIOiQ3s+tHnRorg23hL19aZhH3WyzT8Oz9+TdboJiGi+Dn6tbrW22+PcrBsuEuJRCj9c+
eE9QGeoq6Oh8Cug+rsT8pGjiGSUeemigkRnPK2+IFh1tPGO0or0oHYgvkPtwn43THkjexky3Y0OA
zB0wZG08CRyCokEnEASRG46ftoQSjRJP5EhQEa7wkynRRQMMowGWkQnTaNSjFqcUiv00pOjmW78q
CUCqJQrJl1Ck/o5H6qjIjRKZRK5UIxFKrYQpadO1lXClmlAsSTTSLDdep5GzB/Ko6xBxvAGCs4Pe
kw2A+WMYrID9vtnnijjEg+IdWPWt7OekIdZo8oZjOiCVmNLwE/NctxC6ujMlGgo+zsm0CpgQVjRs
ouIbDQ7NrYApI6GttFbj9i13gE1FEjvVwZ/Sct8iwxbQDwwuSu3AqGND5MjqpNPLIsYtYvPXdRCu
Ciz6jsmcqAb+Lw1Q2saQfoFEwrASicVqJCCrVJyLJZFZnaz2WxKj5drdOw6nYZOazTEJpoIdEd6P
om+2GKC3lhN4+4kOIElMblH4L8X4AKgpuNjxxqC1pYV4JhJOsHWlEYtWuq+WYkz7UbhsnCHdgNa9
CIkF69g2HWLtxxRkRYRK6y+tnG23UHxanjkdcge+hq317MhY71B+VveZWZIS5wloog1VT+xMczOx
TdZVmU05/EsZarD2XfYWjE3P6pF8TVky2dEZ0T0H44fuQ4wpqeRHlc9ZN9KNyaCONVrPckd56CVG
LYOn5kr9aKhSilQXbYdhPjUBr2nk9Li23W9yz17ZbP1wrmIANV1a91oA+CJB3dWMtbWxmmo1OAjy
7A7QW0tAXtSnASKP5LVJTaTTHcsS8HDje0QDFcwdFS0266Jn4NLGEQ5ypc502mpWzfRZ+Zw14Ia1
yYo2fYw+IcxoVOg6KXlFfUn16cf0gc+DDgsiivMw/haRpX67NoQe8tuJ2MV85o/VZoizL943UcOJ
sy0LEBU5EEYCgEGvOEVBf5GgOHBDhCXWIRyjt4Eqe+LXyrLOYOd1E4B3NbxlDNoze2zotqa0ItMG
z5ioKW5eRUFPa/IhW1v2kJyUa0CKqZPn0VYv0wez7sECWPZXF4bTPIXQt/TtisAUSXUbk1bfwpsE
xplC+LRjUn0xzXhpQv4Y5sy8QZ4kC/u9LRHF5oPtQceNoVTNsWySmOInQClIqvcqqDVN9lpOIlkx
UVXzLI7YQOA9MCvSZXTEJWkxwX0Yf1kBbNchwW0JVmyV4UZejLZ4twfOH3PgU1YNAicspC/ZN2y9
dJ3kYtoKZJTYDwCqFuPBi+BntFH+VQyAy1HFn3DW063WGmWhdrTXUYlEIW+56HoaiKLAn5XptFF0
i3Aj5Xtikb2KhrAi1kZFEdN/AxGARTZ4UBgjI3hmzl2B6TpPwkPG2Wgyrm08xHHImJRnn2Azborq
77UeD0tAypUd6IgblO6lGlr0BDARtZjwaKHJjDSaKGkdPAKLuFZdbq2mAaayYVrJsmsr+glhRzcT
i9cIfRCHCL0Wp1b1B9Sl3fNouP6ujSmN1LozLPrRRi9XApfyazM7qQ6pnYYOmMesa5C4DjaQwpzO
fiIasneqg+YTUTJY9C+gJYxnEEt48UZoPRHNrKZo6TYGjrdzTVoH4GYaqvYwGnQPjb5TwawFHKKv
Q51MG5ISYTltqeRlC9VzKdbWqMDyUJp567jZddRv7Y4dH47HatHZdD5LzDuR3zMnuAMpGkp6c0c3
nStdBUAGRZcb1OHSYfM8q8ehW7Qqimhbh3zVTBw3MWnSZ1qkJ5gKDL5+s+ptcYza8pDZgbk3BIqd
gK6JDWRzYQ1F/EAoPEIt4zSVXr/TgaNgjafvHWVUTqJN5ztI1ZVGg0FOGYSZvdoN4ITNkr4Zqxbc
OdjHBtS8zMgSKFSEl0h1UCKY+SJRgHc7TbahUNyTDMNuyRWOt9ZatAGpAiA9p76CObDZQm5dpBHu
A4hgnAgu++NQd49taeob8ahEVJhCw6B7HQVPvhOCLoZDtLb9spv3ocxUaGnTUTpJLVs7WH5FKSmO
rSN4JcLnylVVKsMBVCQgos7atklhLe0eew/vMnuoI5YBHuG8CiX7IFUe3SgMtgSnY1BQbDxj7ZQe
sPyuqS4E+MPw/lZDhaZQFsLvZgYsVHH72CB/cIJS3wSTo00IXAVK4QAIvl/aoKvDZsIRBAO3Fe4v
vRkp3OjbOw/3N/jWlEYEB++gow75Mq27xwE51M5tsThW8Bw5y4gBLHWbLFnAV8gJ9GZnl8Z7nFCb
jXPKmEZJYAWD2EalVG2p7bi730xpq5Hl4H0kWY841uq+lMmXQGHpBVEz+W2npM3DhYP5a03tRspq
7AEnmBkGqFkjj6ZOm+Q4y+B8NbVLHwMKnoHq1WEeSCz2w4rcfwfKuMQi89mwBicQDSHM/U0OFBO5
HO1mXvjQ74fWYpPYJTS065vIbIqftYoqR9z8RHIq27TauZZb7jT0aHExUouWj4LSPeDqo2FpcCKO
UVvt7vd0JHB/3Ls/vN9kAOeNMqLyrPVid7+p/7w36oayRZIlOj9CPIWppPCuhq/C+PL9ZNsxnuTA
XWgiJqCaY9SyhYXXrWH9utLM8nx/uz3Ss3WIjuTOTb7jmO83Ro9favb7sR2EDqoD+2WQLRJTNjK6
MkjzjS8v+yESyNPYyzC3im5LGVSsa2kHMjvBv93v1iaHNwEGCT8P84yqvWidhvZfmm4odCsIHOXd
1CKBs5oA59+/1kQacFyrxeb0x+39HzSzOE82es5cH94CCcvm/KQTJO/9vjE80Nl3U5OpZgsb9Aoi
cho6Oo7GndFhFLPkzf2hGJNvFSv38vc/JSXGENNrWWdJevP9WFj3w3I/VrVuHSzINCv9KRfNtAst
Ye78iX62O8XEQER6uL/f1PJe7f5ULdD3sCdOLlFREiUBe5Qir8hNIF7OZbGzufO1f994krmtQjle
Jd50y5RS2ZVhqOzSXp5zEddnRdV0UloE4vIGFKlYqnb9napTr86nvprWIb6du3vIl2zo+83dPfTH
vdzEvUvZw1wOSvN2h13fbxwtZ7h0ibRk4cjYR9GBUR31UVzxSe2oPflCBGuwZdTlKdBePacfV/cf
dvJiNypU5k01kEVzZ2m30hWmFhhsf5uThPQq3R1K2ujSl70/7prgOXL7YHX/Uu7fxf2L6iTQ286d
x9oAv0faWIi9EN+WE2mwiCWq+p/O37oHbVDCPqGNjl3y/hSHOhHL5q3eVjRD7yfywKiBknOsCFxg
QeDeDwjz+D8O1f0oYZ3vEMrFbbhlO/HHIbh/yvvnNUH97X5/coZtQhtFuM2ghJWdAF2nGr+K1KVQ
POQo+xrtorEjdkzAl5YuJOucLrk6mW+1ZEnpHXbchnzesbgpeRtBowWQp08Tsjq3+Ybc5LpIWoe0
H18FkLdl6gbICfKUbhcRtAvIqMnx980gdYSOFu1rRH2eCYTWnih3IktRHZL99Mi6diGVRiSUlVKd
9MA/C5u9mxIy0ZvtLog1EAW6vTVr81o0xSN+YGZMOu3mpEMaYfGuZWjhvfw4dMc4z780R3tWA2It
U4XyWd9HL5n6HIdoJFK3fA26/FV3fGLIDS4BLYtPIsxTCA/DRUVNVlQEtg6oSmBa0CbAp293BqgK
dp6C1TuG53rVOg0trYlmU5C2m94fWfo43VNc6uUeKOWxMXp3E6ThrdJGB8cEcR9mInMqIwfCLfNr
oII2dp18rRmwN8YBRJP7FBvg1ClE7N1PhTrBcszIA2/d/mq1cKxHt9uB6D+m4mvQSeS4lildfT9U
0LtmySG0hk82JNSuFeWktPTMdTOL8VazW3cpTCZZRofQh4wXCIVvTBDaaj3k6Xl0k18UowlGHEMG
0DT4qFsWK8pIoV9tk4NrDe58cLqNFZdXV2xhQawrnZBBzSXQ2iqac+LAiAsHDKtmlpK5lx3bApSJ
RH+qw7Pv0LZrAvs4sshohOCS0OiL0moIWTMvnLK8uXABNQOnIl1nMXcT7AdNgc1dNrQ/aqt7qm33
veMgTCGKg7YnIsKzrUeRJjs3U69V2iCsG41lKaavRGdP3cWkYcd9fTHJGI1thLXAIbFopEhrBmOB
z/c2+j6qNo/ovsz6FsIQi9YAkKaH5JbU7Rk08TIs6DAN+wYKIhf8Ty2zzrzGCxdgLBJ9sA5VDKvA
ImesDc25VkUEBVjIHUq1vmYlIQZocmPqopTrPic9uYJZgEqW2Md0RGPpJvmBwvkG1vGuycZ9QkMr
6YgD6szhK2+1E0bV2yScx0Tz3jy79ee06udTMVlb1UC/Civ6nJaIZVU6kUnfz1iTroXdvhZFduVd
zrSOonOg0c3NUaYA6E9Xg5HDmaNnR6VEirEkXT+aFgpfQ4DuPTVZOCZLlcwvQuKNznZQjSMhNxFQ
WyYacSPzztFQv06jj+fBR1YNZUwEoU+GKaJ/3UYJ5LrkbwvCR5ohQWAeVdEa6twb6RH0yrWCqQDr
UP/tFLWz8l2aEmHVfaho9YSqtEtLp93YTAwHdks4vJM257Z2wSdJBIgUIgSslZU02tu59lS7OVk/
mOIBJGSLWBdgMQXdM45axTqZ7mLW9XtIaOOCZslmhAGKH7kZ6Iuq1dolLqON85+0sqJ5Z5evrkkM
UNl5y0LTvhs0jNBVwLmzxIIE6de4ZLx03pbYaYIO5ZQZosuIrmMSwknPOrpU3dpI8KKXGbHOamLT
7nEUUOeVclD14BCqZE0GvRqfsVgjshfGurbQ1oYCFDD9OqrxqC5TSISU+H9YWaB0b7tqzjXq6IG2
G7JnemEX9sXTQTNxGnkZK2u7/TFaD6MXyd38yo/BEup6EuobQRMFllFz3zp0+0FgEHcK9qA1fpmp
cJZTPA0kv/Rk2yPFNTHYGC7GOBCkPuAUOr+kkcXVDEI8bCuVtojj5zdgluc6pxqbJfSt1cbUdixg
n5k1ENX5FALH/AALiK0a2QrEml7RE3zaqoFHEvELXCLFPjWko6uezMJUaOBHGaayptt0SYfGL6Qs
0JB+5PvuD6wftOK2Zs0BeZEA50REslgarczytaZifWBYW0QD36YViB/KHuNKyEQWMyk3qu8/VoxB
u9yrfsK0p1/lM31m4jukioLx8ceNx2Kh5AdXBfEamOkFbg3Jup2NxSdTCV8j/7yCYGhSQGAgW2V3
q3fz2nbuN1M6afYDnUFc1jstI/w4/pVY9rjsYeAe7J65MWZN1poGdEe3pnq1imsCMlKmNC6k2sY/
PFDwIrwUrgtavE4JdhkZSK531roWeIbCKMOqFm+O2usMg3D/q0n5dFphYYx0URRJpIuIriKxspOd
kyNhZzadxrZ35vwlLXXOKRvreeOWgFrMnlxucynaY+EPxHKZ72JwctaZbb8uMmujTt9gjkka1ryV
V8C/MZAD/Bd7Z7bcOLJu51fxAxg7gExMecuZ1MySVKW6QUhqFWYk5unp/aWOT/f2cYQdvvfFxpbY
VSWKBIF/WGt925CnpnsEd4L5OVul4dLo5E3bDeE+CLMbfO4j4f1yJU078giLjst03ROqiVU5BbLm
ygfS/6GZNojMckS+2nbI4hD+tcsQUU9hnp0a7yRlM91aPqwp5d1ZdGE730UiWbnPVU44Y5XlAcNS
LmjxMD5GKDuGFuJ3GpEGX873Szy6d5KzGmrCcc2m5daVk8ftSwwHoKNIgHYzIWkpV4mt5SOidAoW
5quOf6bevuw7zCcDErl62Liec4059SGCELB+8ILpM5f5sx7uOvJeNiObhF0xJGo7DoKeSZGNU0Ie
S30i8DG8svhKH5fxSFqzfWFMhgvQxntGvgB23NZ/SgmyTEpgjoX7M2e+vYEJQFqCOQQjNJ+8wuhT
1c/E3D2zZmTHvgl6BP6wRrb1APKMWXAKwzLaL2nOzT/+U85RfRNNrn0MIjHiDfHNxXAmnr+44za3
zZNB3bNnBLE0Vz+y8SPtbyLRePuekgiJZuTB4ZIvLZmyQY3KpA/ydxUh/GQX0Z6WYnxbnfmDumnv
xMVvG8PEhPDsKcr0To7ULW36JAueTxdMf80JNJOY3PIydNEVGuGE++55C/JB4mdolM+rTXuV9sUX
sW5X3SAT7DtoxDL7qIX7sTLxANNH2O3s0moaQFsYWnciHTOknISpzAMCd94TLsM5UjeSRS+tNfi8
nYmLalBvJyQFG0amV0l6yBZV1d4r5b531DnyCUQRQFkAR5tR0lS+to7Q+yHoaoaZ8uzLEhS9N9ws
MwmEie8+BI4Bx4eZtdGlIuc41ZhiCvIAc9Q1dAP9JhiJ8pjbvLlNfAUCrIQKHCTdIfXeq3Gsdrb9
2dQ9ZEvex7JOxGHwsXHVtnqf6grRCqYUg18jto2POPp3MzAfnOU2aO6nlaGFavVzSWo9/dVCsoAj
OzxehQ26Oq77y/f3dhP3jJroul4L0lsv7fccoUyzAewa3/9zSOuEy4XHld6qgsu84BFJHDAlmsH/
bjH/gmXzA9Lvni3kfMP5dWnND6rm6omdyHyg4OEnmIf+OYzIuzDpEWKszQ/NZg984egS5WKT+7OW
byGjDMIZFJF/ARGn8zKMl6qv2FFX4epts3TkvqJNNEwfI0Ic2DpcJnPgCdwiOgLOaB63/bdMuMs5
Lf3pIod5YpJDIbgunrObYt1eWPkPLNzYjHx/G/g9UWu6RghsRhupGXIkdlPWJ8SMmxjk0pl1Fy6a
asX6aQYiCBNpwr/TRv4+FL0NyUKsWJNMY++aTn6O5BWAEZVaWjx7k2gP3hxNl+8DsfLzZUXomYGe
OkWmcc6AWjHa4vD91T+PaXt6JBaWtVmAO6MyHXgcLQgwfLRX//H9Pw9WLVERXoEOL5t4a4mdb3O/
PlkezdE61wl394hlUetlZPS2PW+8GWc1VYhyockwP8AIQOvFdguiQI05JwAPYuhd31+55tvvr8yf
QAnVn6TCC9H1bkuKymMoA+P3GgwvF+bRxRYOv6LfulsKNnEpfSEutflqzJr4HLD5HLuQNO18ckEO
TWSXBeC4vh/LYq6c3185iNE29gDir6uGL0fKeV95DdWElWAMjkbSf5qP72++H3YJjTvnvGPIXPE6
mkP791f/5VsK3g7EB66v7+dn6Vlyyu6cjl/YNuix78P3w0vfR+dZPw3digGCNiHHdJ7dO27CtwQs
ChK/OOQUCQTXSAclBs/RXVbn4pvD97ffB7/p8Wu017zmTkzO4XAB1/T98//tSZgXyQ+9AGOaeR7f
/4WYR0InKJmTKQcNET67TYubZ6m3Q1LH9Fwb3dg/y5hmZQ0Qn6YJYQwZQXLeEuBamElJxhUh29q9
R5+FOk8z0rZGptld1N86grS0Ocze87n4oAYCHbdMhFTBAXB0ipK9etE9Z0lOXl+iyaxYc3tg0zPY
xK7ycs0VEYjRYuB0LA/HtCv3DoOKg1zcm56Opp8r75iP/HMt2Nw/xObTbx7XCGKUaGOYhpuWR85t
6rxoZ/yyCn4DfwwheGZIvxe082xKOXPH4BKbALJgJDHUwoXT+Ajl/79o5Fvo8X/LIUa3Yf+fRCM3
6EWGz3z5X4Qj//GX/jOI2PmXChQnizI6D/GPdCRU//ICEVCES6AGriedv6UjUv3LcYUiWtKWvi8c
W/0TQ+z/C12Kkop8Yse3nf836YgkIPnfhSNuKGy0K6GHgITLoxD8svXn+zWt4g4FzH+XvkwoXqP4
Ms3QXs0pljc1URs+ucS6ju4iFV9oy9tLEbjPZU0IyxpWycmen1KLUFdrAqLbMztWLUW7DYkAEpCe
sQMxa2S7gXxClu6urxnOFGxakzz7kVu9t2dIRLqM3++KCGLOpNLoPDXTVysOqTOs6HT+job+n4qn
/1YNJclHVc/zFujX/rffk1fKI9qLtYTr2P81bJlk2MXLReifI9ZTxjlFsHleIqNHax+ZcSFSZW6k
CuKMMoPW2OGxWIcu67RuN+Zrcaoc+7WK5GX17PqI4rbkY56RMtmqTeJHe4Z3w2VQzovfB90WGMaP
yrI/XJJgH78PRPr5G1/N9j5S5G6SSzCL6ZxCuSiCutn2VVbtCT4s9WFZ8+nGKvR5YSp8on1o4Aew
6rIjQQZQhwZmTt33XDK3b/NFsbZsn78v9765AaieNURJwNbf1/iun2zUzTo4r9bTPw+roDW61JiC
qpe7TuFgIi2S2a85JGmPJdJRFMJmDfJ9GE09IKPoaU61A06iZ1EM8Sw76Ei+6VMdiK9R43BaXAZo
3/fSGKu9tlO1z8xNNRl4zSoF35toUftSW2C9Kp8qW+dVRY5f6FGf0BjFXrF+Om65ULw+FfmcX9Yp
CQ9pWVz9YowutS7JcvFlvfdyzQ3ffLv2tvq3w/djVh2wXFuCU11WyTGV3eNs/lTH6Wf6bNxqCa6s
ghpTF5Lxq8CPHDj84Y3Ol5jkFvIwBsx+Dfu6y/dXy8qNq/vJTnE89A7OI99juxlXkLaL5lTHMDzh
dSbjJVLUI0Bz+t1ksUoHZOFvXbkqNJTNu8hZg33Xn9+V6CKdJ7vnoRUmdsmd81b5QbsRyUhwvjnU
PlsfGev0ZrRQAQ26o6Ksh9fvh74PcTzzH8vVIrpMPq22mWsWUCYu34c6/OOY0X1RsSWP3d91jthR
02t7nFRIiwM0M5hHEzQAWGA9INgxoVIQfVOphv3YyJtWtybHTMMQFL9D/81morufmclgf/jP+rdO
Ua0jZXnVFsNIMsuyc1+73M9TYknqii3WSlk83kxm/xQHNKd6NMutTr0qPysPUZXBcqD36cvVP7OZ
Jil0iX3YPOlznLUSO1lB1/iI2CjFCZbfFUOZHhsV78hUCE9CeaCg2IMFGfMWq5jpC2zFj6aeVATX
9svR6ovbwrZaLPHk6VgtErcq+j24g3NYoxCNKc4iuEiUxNKs8mab0tpp8A2TQP30XcYCFGJYa/nz
3tc/+fvB+bvQWX1gQq03zIDSC/xeCxLqhOlGpviIliN+YFtjQBDNIRwITHAV6cV+d5M3Ot2Jun9t
0/4dubzFRvI0ryGQGhCx1RCMN8OUFLgbmh9xvYw3bPjZJdcHa6pemnINyRVHRvpda5KBvHPLcO/F
k9r4Rf0mp0QeBPu4oPE6wl0SwvssiUeLl4izWGGUcbjiOU31ylCsPMx5sZ7H+FPjQLg05lDg657s
5Zx7a71Vhe623xdKbpjNyS1HfEZkXK5z+dQFQ7Ar6e42rktSWFk9t0WHNiBh6NlroBU5mLRtP88e
4R7sTSXqFquTy0WDMTqr+CUxZFsoVzd+n/9RMSb+hTTCPAK3IcavDODdtMbZIRTZLdvThBGm+pUE
7raCOHcgbf2Vrkefk6mmq4mQEYcB2HAviS5haqFMz3zC8CXGTZZHl6SxBAO9/HmKyYdo5Eslisu6
hNaxH5p7PTRmCht9LcEPN65+I3lu9jVpaOY0Xwq2m2nbHX1CICvb9vdNEQMsVKRaQdKkGzL74671
f1n+yrPEcJcFbs/5MJBf0KE/HxIWXZhgBMPeQ9yJ1yi12hPXiWsgXzuHSnssgEJBuqTUW4vrmKO1
EaTjrAI/KU9mX9N07nugVBsLURsUjhMjBhsuuR3s1mbw7h1kYS4GJDRQtt4t5Hrx5kwe2MyUtmVL
mPa+sCQoXbUyhFjQxQdtf3bRcd5U8lrM7ryrfPuuTOSbiwaL6R0py1/+QrRBaJG532XUq+SgKqfy
7nwCOpZyaNCdE2mchyNeV/6GXPrg3pFQv2WK1i7K15WSlnx/Db4G+1R9QDWDpjMXuMAX9TFnGuRQ
Hj2tcTugwSPUV3njAwQUYojzc4PE/pD5xd4zm0DgvdUJXdKpJTmqr5dTVuIfdlSEX7zIdzptfgon
wWKrSACXpPG1KeVLMrYfQUughowl2QezRYiLlfV74CEr/axvsrxRd0zLPoTsY+QxzklH693cMkGC
6tPuCLLr5MgYv+7m/Woprkcrotk+NZsQstsKBYdNDZi+VkKH9WK9BCieNmtlWU9+Z/575t/rUlxE
vW5DMtos/zOKYv6/RobYCfR/Pn/e6euYUj5dTgFM3SE3EgxPdNuAsIYBlR5JA9VbalOZAVHnw7zx
tYRIE0aPky+aH35d3LkBkffM25GwuO2+lSQGcSk7yF4/zMIvXyqknSL/6Su65dyn50oFzMGxbR9X
TRa2zi/JOtpo8/GxoP+bAtKh1nl4su22OFoDPNFh/O313mtasLbC1hDgyOO0dNwcFVfvILpXKzwG
kg3TYdrrnrcfhLDEuOgPh4ZBvmuzqGiI4r9tqNh+FvrBS64RPryHKQ7fQE60u24thz16kpzxE8rr
X4WCWO4iGqUXl+5RLPTKQRj8yoRiPzPgOU9K33lcukI8lsl0dHX0K0kRLNb19NxMdPJMnv4UiBn0
kmLzDu1DRuAnyZPNsFtMum/heAvhMZV/zmqMQN0f5i8sAKp4QzT2sQ89vJ6D3FcVu8A1dfW77og5
w9CUcY/J1GnW7Fy8PELAU3TIYixK4CFCwBDH/W2gGm4hz64oxcmvS8AFzV3IVhg9V6NI3juHk0NU
kcLCYcfT74VEhylcXkOSBcN5IE5isHat33GeeisirTq4CRDJMO/4qwvJ7OvW6pfrYdauSbXwXX3X
F6iaYCJXTJNDEk1yuexVkPjvAZ5JUlDW+KSFe6mgGWyYwxHTiTqvDmCTUf5hqkY7UnocrLot74gP
aXp2Y235EaqQwDFq96z7izf9h5aAlLwk2aiifDThIcCvqkMnMjyhyjXS7Jfuu86LM/K4nN28VKTp
qeVjNWkkTp4cK08eGvYvSMOeghW7YRU4p7KyHaiPmG/zWT3EUYWDH+j4MGc0DCExi9UYblGWfGFW
d5rYf1rn0N8Nlbizwuku9BGc656NVp+og4gGPIqwYZP8FynYGyvI3v0eJ33iSkQ2/QFwHjox32VI
XnaPcHkx7U+xhyVqQBFc28Mxskg3iBAdpgKFUfvNhke2KVr9s1/+WioC/+PKv18a1UIAQZCZDc2L
EPPrPAe/qjr6oQX51qrHHc6w6BCsZQtc+rWuiPaaicqVS3RE9si4HjsWW41t0J6J5cXOLitAV065
kx2UZ2OO3kyuF24o9FM+Tv3BW0S2n5yZ6QF8NBQ9p5h3+VCFRXXIseHEjWFgEEfled2NXIvXpqnv
A+nuo1gQAgkZaY+s59atYqRQlahuHIaqiQq/9PA+deKF+81RKmYUvjf8qQVk0HXmfE3JgujWleC1
1foDMAMadomue2L7YZFMqnR8Y+VPK2X2FRMCZWHr76p0vToivWZtGW18O+53ife5Vm/Yd0qcL5RB
bDc4D6fb2KuvCSkcVmG/wMBDMBdWxLAW2N7r7GdjEzHmjzih4nA9Vxl28CXCF9+XuAzQwmyYbi4J
eKvRWW+479dPEXRJ79zEGBnZkHxMTn5tiXQ/loWkk/PSO9T4y8HL/UfRu9N+mhquw40UXFKqC2Nd
9kfxeYbxcFp9NRymADLb2uTzsamB5uQeTsLIARqD/JyhH/LdnEyqpSAUJyK9ZidtR+/SeMT/rRq0
sxkvtU0hGYfZS1PoJ+lBY22dxymnHm/5nT2ykI8upDrVkkLiw4q0MMmuzbiNYiaUCOeGCz4prFUp
ySsdVmRi+Wc0BIDRM2dfJ92vQMcPM57/CCBGg3oB1Bq/9Fy6UHm4FvZwAFELq9+urMUdXFp0VcRB
oxDCQvFQzc2rKGO26VjBtm3scSVnNMAd82uwTotU+a7GrnEcRuh1NZHxynZnOjvrmkRA2+dmCY+W
asvDGhT1tm3d57wxLynXQj9Mt11Uo2WZ2ZtXHdP/3MhVKv9BWzIlPZWaeOja+3BAyjoPWJhFKt5j
VIV76YiHCtI8238H7o/3AjHpzm7DzyiengK2Ylu/4CrhFmi98/wzcwJvN6bem+cSjGAnyFwUUNXY
QWhXUe+iVwFRXAHmIc1JwkysyckpXF8f6M3YirjjPRfHNaZyjB3ydtL+vqgkpSDzRWv+MywpdhD2
OrFwXhUqfaQPlyGZPuu+qJHbnnC2pkc1eREouHi770Fys3AyRQk7RBK0ik9047dA2z41wmc50CLq
Qsc7PZwHI35SyL54mdSDcORNMGRnR/+Zim4Bc0vNwSSZ1L+zjEkkLksf9UKhP70IzmjuL48We2Mm
AN7e6VCYJZ4JroNX6c+rh+dzZoYq0h2AR4QPQ+oSNYhmIM3SsxRE1SU2Es5IoeJlaIWyLTfcuZKY
Q+nlKQCl/Nj3SX8cZ6al6Mqf0Ke+VDIN8UNiWsvZr1X1l/QJ/qAXwWAu9vbBDZbf49yRRpUFfOin
38UQ/khbh0CA/F5kKGSJF2dIrlXEpvF3QAVvT0jKqznAQRJZv4puPbEGfgC9U23dtvnBP0zZhLtn
34X5L7ub9jAe1BYi0LyzQ4q8XufJoe9n3Dj9W1pM1bmMcYEvltjzMa5odamh41s/D9B6R4sRasf3
A70cW0M2mlWhd3WCJTvLwJXbhEloSEq4pDGJjjSXfrEQeATBHaFPsPNUPRKTE2Y7PQ/AL9f62Y6r
7ICcmlzYjGSUBC1YAUXU/K88F8QEEl2S52Se1/mh996YIHK6zum2X0ifGShIlmE9J3byS0Pl2ShL
3+DRDQkL3xR1Qdz3rEEuznwcKAsGEtzY89dlwMffvJA4d3+Gt2O98mIEPgofIMieiDpkVKQuet3M
JUD6G0uJ3+5KTHOUo86adA3rhbQBtk5/ALL8qLHVJ8WXxSygmRmno2nF2Oh6jzjSwI2MPdGj3ooH
ljU+tf1rpgM0stGLkuzzZ0X8HkXkVrYR8n8dPeEOJkcDE6dHW0SsakHOdvgXq1+0jlc1KhQl7D4W
TbkxVf7WzpjOV3kXbVID23ALIL39yRajRtUwzdwcP1MgNDstCFpyA1RTXS7o5blPxPM8o2zldYsm
mw8bLuuoiyL2nO7C3I0oD7uekYM3Pqr+QZKikMlgO3lJjD5f7WvEZKik6g8l+IWtJL0CzCYZbGSG
r+rsJoEDelyihPGJ4IaUvYLVfC1GJz/OqrmtJ+tzmjrusf3vFB1eCocHKcBd62EpWu64hoyD9QNj
N87/tHxe4oca6O1c9ti0R8Ufm05iiO7bOWJgR844itnfhuo1HtZ8mf5QWiRWc2VhhcPGm1kiNito
ldmG4xAqHPowutVNO62HRfICUuW/zE6F/A2NQsiNkrueu8l83rs2JuK75yK6IkUiBwHNX0OsQKjR
+E/RH+qqEYrWcm36KD4VeUQyvAJtAHh7aLtTp/StcKnmibqYT8pZX1CN/iCv4qEPXXuX+MkXhq+j
r9EDT4t39Yrm1U3cpwyHrTe8as996Gwf1hWyGWqKYC5u3CD/0Us+LSNVf1KKK6mnRGewvi8jBFAx
mUFIUtuVkGqymUQRvUV0N9aQMqqabzzsjmmCL7+d6FpsxLqyPA96OCmrf7DNZ03qr6atfuqAXmKd
6bjG/hPKnUN2HGIBuvLHfujq/aj657YSL5Hzw/JdfCja+tP1y12IH4xzcXC3nD0zyDzUNnE7f8KU
OwWQ07ajg3qktd4hf7Dk7qyZT4b8oGDbTinqoKGLfzV+esZIGdBEsyjqx/SxI0oj8/8IoOWsc5mV
OfF7ItVjRMdpVud+5f6xrPKHNr+zNfUvPqGL5cCFPEQsj1yTCFveqW2QoV0RhTbLS+K5iDJKJozG
cGXc+QxrVN/X9t0cp+Iss/qcU6ZuqzaMDi2gtANa/xjCun8o6nQ6zC2DM+b7dCCFAaQskFI6g0wp
DDxloZI0MBWPeC6RgldJDGglNsQVegUDYGHU92pFIFkKSo5Nyha4bchC9FFwwOQh1KLGD4F1z36I
q3qLrxBChqt3ngG/hBBgZkgwgUHChAYOMxtMTGSAMQXkGGzrINsMTCaHKoP9MzmlAtDMbHc3EUkS
G0psRpjr9Fki9iI3Mt+HmhyueqI398uwZUSQUb1C6+3vJ7d5zQ+OAd0QEyIOdurCV6aisUbb3851
cd/k5CxISDmFQeag6yQCzmB0HAPUCUcikA1iR635zy5DhWB11yYqUOEQcfBjxk0wzz4eCpJmzPTp
hMf/t+7LFwQK+pCQBOFS626tp8JP7pwaSdNStZB4+3G+Jernrz6J1dZNXeeoF4zkmHuDu4gin1oL
olWp5nOUFe69u3IiNOFClIG73ihCbYFaZHdQB/EBY/sRC/cQrqAl3KLEAIxygzIKDNSIPT8JejKe
ttEK8qg9FQaAlBoU0uoQcTMARwoxcdgT7tYhr6GKkGOPvlT1FTC2hUElVuOc31sytCXpYDAApsig
mNTqCkIBcP0O0W51C0wLeGg25Zg9Lha4iSienyc05DttME9Mx6Ev42HjGheCaebv1RMh2BVi2dUH
cgYMdt6VsKOUgUilpLrirrnUBi9FlczlazHIqaD9SMv5r5qxDFtk7xLUxWNRsRQd17E+1JENugpX
4j7Kgo8WTFkXhNFrFcr7IB4+ZmY/Nw22XSIeZHeYJ8uAYk2MyQjJJJLZJmw74FnUSD5glQuT+HdM
L+T9i3kA0kRocBeWX9nioeSFh7kRIR2BG5ENZtXFE7An987Pmc8xvj7kmVMc+VVO/VzU16nlw42B
8JyOzXRvW8kr8Or0Etbze581zW1bEZsZxujRXIMQCwxLzEDFEuhiCxY0NwY3Zjsb2ROPYIsEoyGO
6Y3MRlSBi3xIG/TSFfFBfGqD+TQEZOyhtMQsiNEny9zluugHawQGldn18JRW9t5uSVHx+2bn2eek
cr1z1f5pYwu5mYr+mhpwahlcNRN/wc7Oug3sMb0Jwl+SncixyynxA6tZ74bOe5mE1A+qvq+k2CFh
pw4vj7bNOqGM83E/aVZNqCsRiIwtn9CHJiz6S1SA8mRxestotjtIA4vroMYFw3KNl+yK3vquhyqH
a2iD+PdXbnBzzcQ7GtCDYuXGUJZ+NQZNV8Ooo12OLugix5UFpYHYEZWFI4KWfkaahedn0CjD0G5a
63B1oeAxOpqOXApJFyHWvTKoPA9mXmTgecJg9Dp4eilcvZ4eCZ0St3gIk6+Tge9pPpJYht5hjIdE
ugM5Sw2qL7UVQSr62UGPQcQNOuii5/ZnAH9xRMdh5+7TauB/dHUjSzBkCFGa/qzZEhzi5We85jd9
zBB1rYO3wZHoAMEwICintgMzOA1kD1FBDAZAGBsUYQqTMEMfRQ9E+r+DCF0QQnYep1vM2AHjy8za
1iHJMUlEZnqeJ/tWIMtEvXU3A0TwDBIxxFGzTQ0mEcp8uCMt5KQhKNZ9E+/aYrqfxMpnsrn3LhYS
n00WNSieDYTRwCvru5y1xLWD0agCRuC+6SaTfN6tBBgRmBeE2LK6L9fieSYZUXhjRjap7d4hMHN3
I0TIEjJkbhCRMtI3yFF/ocUkaDtivoJdS1u5xzWxS04upEnPICep77AxGwxl4ACkzAyaMsEwjOhz
jYFQBnAoSpt0HQ2eIGBn5wzuwrwuv48AXtJcJUc4bhhh1ftc414QtRaMElHQGl5m0H4V00jyXkp2
qi0UiVqWS9genotSurdoO695ToOXGxInH72HEDRnTKTs2OHXW6zwZ1OO7zqZktucbfdOZWw7BVA/
w64cDfNzMfRPq7dH5uX6Iadt3jdddAwT395JwpdH2S9nIk30BoD3hjdvfg683zmg0dQQR1m/DRfH
UEi5lQhDJQ0Mn1QaUmlcspaW+C8sQzHtDc+0AGw6ADitAZ0qQzxlsFjsxpqLQMl4JhvM3H4NcTR2
ZC7nEet6f67y3RusOP0zGV3+djfsWxvZdzqU8T2A3emm74kfbk3U2eRzp58IPM/1bWkst2uqO+Km
Gmcn0uk65RAY82ekges+Q13uT6SWY/mbD72dABdxLPEEKHDvL+olL9zuhEtNEPqe2ChU9VEIm82N
nX5SNqy7PiSZVcCezQ2ENjU42tSAaWuDqM1g1RIDR3Fv8LUIjY1L1sOyBNs2RjOKy8C6AoANeF0A
4AYGhYvCnWEjaUNt8bSWrv+wprUgTz+4enB0l2+gLg0hF22gQS6wXTcQpJVRqM8GxBsJkLx5/9AO
fyID6l0FyN7OItdBRj1Pm4TQnPydQQycbk86IGloxHTeR4zlplh2D4PtfJTLUuzT3HrohnHYUvHf
WgYgPBqUcANTGD/4znaBDLdkjaIzFccJ/nAFh7gVwW0xJoy34RPDlAiI4bD5NNVuI/cx5LlAu9Dl
qQEHZ3KPAIVJwA6xw4YGgewQHkK6ndr1Bo/sGlByCDF5+JlBT67agRK5L7ZFK9+Up6u/pF9evHIP
n0XfZUlAcK4cjsHqNMfW4vJSg2le4TXjf00OKwTnFJKzN06k+s64EwSXixIFzdZabX83ahRObUpA
9DRddcTlpydIHDJit106dBKYvD9IdcsxjTo4lbP1Lrc6xvAGOJ1CnvYwOh4yLEjDkOMToXFgvTGT
QBZb56IexhsHhvVgYNbD/Ks1cGvbYK7h/O4BPdu3uUFglyVzPVzQoCLcsL8hsi6hJcX+EyzWb0bG
7mUq1yd/ypfdOK0fVBskKrfvxQB6u8f4TvQcabQGy03fjWEWUnfugux2F+Dd0tQ3PgQfu2vTfT1l
wb3PuDxauOFlBLg9zNGKN2Hsj2TlC/J/2K19ZiYQKMCcjlzRYiRG++GY2CBFflBAjhBCZrYNftYd
6qq4pt36iJhyfMBcT8hywNuZNesH68q7AEHj1xrYZ3o8bmbxHtb4sqPA6a7LktxiodzVnhd8ZB0i
gCEEEWLr+B61JPc+PGy0jM4+y+XBZlR0x12DlOm1fyBAnbfP4SMNRalN+ZmCa0VnhzuGBN6mFAMA
nYTRSZBacl80oXF11ye27iyNBVPtCucEcx5yo5zqTWXVA1EfRFsIDMU9eK3ZyX8E9gVlfHH7fbCs
rLz1gojOYhS7pOZc6NBwUMR2bCVzMCOKCQE2juHSapr5tBQpm6OQ2AYC00QRjIeg9n+nOM8wLq7y
UdkNV032iqgG2ER0jX3Tz96vuK9uVJEQKZHED5WXlT/Lgvcakw1rUgLi4t5DR2I2nQ77Ksx/4iXv
L3J5aFkRklFGwbUoYDOaAT7/sia10Id5mTbPcliIj66VtWNSVw7qYnUMvUIPdLjnEygOL5kgDGuL
+iTYyCCfH3NAiXIGVuHp+cEPC33MYY2sSk77hjKQIu5rrlb2lswxJ1Tge6nYHvgEjpDEAROidiCG
JAsFCjTBjetMN+hS1qMCGkAKQnYfW+EVLTZT63W0KJMVg7veZfjl96h75nE6wKnpBPi5rs7BU/ni
DHu7uf8+2EG2T3EFjJ4E4la7C0P/xD7WyJrpRFsXXVjWwiNlbL+M0MyQym+bRJJ5H0b3g91JHFQD
XD70yblk5CqJvdhWSHM3YQANzZPqVoJmWKuqfcRBZIrli/apneaeDcgSn8KqEgcHPcESrzd4n1/j
xvNuRZLGRzbtmJ/s4j30XJTpRY0XgRQ7Uj6U2Ikp+6lZbC4FlLhmFLfzzIVJ183Zes1ctBtwVMcD
c+fplBL0tRESTm69jsmxcGY2b/BW4pnKO55GJPRqXK8SPizZzfI2HvKA9Ij1M9yoQbivtaSsreEx
VDVCUn8ob7M+JEWH9wdO8TH1y/JC9N1jTI/QirDZK0nyNNms1smb6z8yT/8KGjs8NHiE93XQunsv
XQImKC4fgVXDN+Zs0sL7KEqF0AbH66ZCfmZbwW3XIkWpYmKGch93U8p0iWjroVzjHxmLxwxXAGUx
V8bihSih6R7xl8ACJbyYXEJJR1eFMGGoBxBwmzWsCaQjIrQ2w0JwQ+RhztuuzE614E3v6BYIOWCh
lrb8lSEOD2L2D/0aPw4syBjfLR3c8wZ5YIXNkrvYPWGbBO0P3U28CnyZ3BIGe0x2bcIMpe5bl6Ju
V8hQHK0lKHAHzTxTYhtEuZCsROhxRXlgsdk9tPoap9F6UGnqnmysgDtrqd788Fk6rIbsMb/VmBU2
UcV0g7m6ys6erMrfZSHotpkBqX650vJH5z5jG+MoBA5tJEiwa9trENr0St2ZaQua6GziNRPeZdKK
UTzrCHpkpMi5vTysSaEgAj3prqJTmpNLgpzvqFzJhHvqRragNL0+ej9iKVcixLZFZi87p+jf/Dy0
TjbxzdGQWg8NdnXYIlx315KxmR36pITUyfPo41QK6/XJnbsUpEuEClNjBxg8wu7LVd2UQxqdzMh7
rrP0mPbuX2qhty9UdRon7Rwrt70gVlsupIi/5k5WHGjgl//B3nktN46lW/pVJvoePcCG3RGn+4Je
IuUlprlBMJUSvPd4+vNtZHV3mpqsM3M9EVUMKUWJIAhs8/9rfetaqoflK0tBG1onBL466z2eLDiO
1NabTaK82svDosZAmtBDp9FHmtAhGqPajLF3C2XLZ8dBwycqWLCG7KdQh+UQgNGCYyVRP1p+vjw0
YxXsWs174dBVlBaf6LUE1kCOQXMfqu+WfyJtfVf1cjjEStoWAXYPlbfeSmeaVIwZynHb7lh1kjNJ
bIgWKls9D2gKEYDEts4+DFzfYqRYfBXLwxkTy3TtKfUZcb/Pbt1hOOsdgBfqn6QEd/T/tdT/Ey21
0EHUfSfcVYi/P3B7iiH4j7/dXJrm8spN/ta2zfeC6j9+8w9BtSP/DuXHM7xv5LzvFNXuQtxz4PO5
prAEz/i3otoSf/fQfbmew1QnTMvkRw2YnPAff7OMvwsIfVJ3PdORhqX/X8H4QAr+KKj2DFeXrmmz
zSKjXioh8neCamlOjpaUWnnQ6+G2oA7uM/cBizF3mseoFnmEtX93kv5E3fxnrwg5z6Jc5yCeWiTe
371imlu5NQNJOQzbxjex53nli3BOg0WLfPDD7tvlCwryP/jI78XUAA1/eYO8kDR1NjSW5SFo//4N
Bq3mz3WJTxQ7opUW+Vpzp3M5Jxenms+/f2d/8lIeY7ql27ygzqv9+FK9mxqyqCmuoxR6T9LknVbR
e2RuqQp/+f0rqYP+jp9oeVxOJvQWy3C5Bn751BjoZuSKIytSbZBb6SEhaEIIeQkeqL84fwbX/C+v
5RjS8oDPuJ5hqHf93efFnJlZRci7MpNarHtTP3sVfFHPIQWK+Gin0vtV4V0Zdau0Smzhe/fWDKot
O8ib379rXAS/HokQUvBpGpgWfjq/bp95Guzg8iCp4emJf+NQXZuC8QzM5TyWoyrdvPmkQP3+ZZd3
+PPZdjA2OK4nUJkpZub3Z0Az7MJ0jYJLSEuuYmgOglV4XAw0msbHmorEKg9OcT6fY69CNKhFl9qq
dwBkuX+s2sSL7TzHTvL8/3JYlslS0nUth+Xtj4fl1EUnUtqxh9ZCvhqk9gEdtrlqzYFqj9d+7fSb
rq74hxgyLN4FxK3pA9RwRI9d/+QB6Jhm1CFO8Bf2hT/9mLCKMDy5us7w8uNxzV2M1oC4+YPWVeT7
9aLYKNTUNFFcHizuCLeFlNx+KkVR/cXYYuBB+fUS+e611c+/u1g9D3Gr1qXlYbTNO+z3FBgDMNXB
yCa0Rt+k4+rX4/EwOM6XKHrJawjMv/9Y/mwQcL47gp8+lSHJAAnkHMEcCrgc7nhGbX2ha5euY4aE
378Y7pdfzzZZDNB6JK4dSwj3p4uz8MHmZUWZsY0qd27lHp0ieR901GqT3hs7q8r2VF0gkr90LazH
KcR2m3rDI6KdQysRI3X6dPT4nSmdjpIEcIqEEl6Z3JWNfi4DiGMJREOdOrPZPRbxbrSLDyMDnIzQ
pRmNuWr68TynO5kXpzLYd+wKIFfwd9TzO4cMImzcYijoCZlP00SScsHGsIGTmtOmd7hAk4Qn2S39
RbO7zee6Ap1tcK3YcK9Yy6kbit3co2U5V0pyFRohCW6A5EITYLkOCsal/L3WLGRL1YQMbLynx7XW
ArYvxXhVsEokZ8TB75bfty5tdD2k80rNxCRFgTpTBS3CN3dNPJ/bSj9YzdekI/TY1Y8J6lt0gbsI
SjaVwX4rZPwOEu29EPG7up6E5BI2ct5DlKOLal6hr8BR4MxQphfrULD1QubtjuJVc3uf9XxIOmW0
p9x8Q1IkKA3elzE6h2Hsn9MWJIbd4JBDaqcGj9YZj2EN7wSIvbYep+xi8JpWzQkSjHiDpLo+TNOj
EXl82AjgNN6cN3cbEZNj01Ps812ug6GVEMQMOoEZTFVIhDm0meK6Q5G7nH7fjt8phGxFoT3bbcCZ
LOC0Z+i66/C9dYMb9ApoYCfC8OBmHmnovcqwBaHIW9UGhh571s991N/G8m30QKnZ3nAOB+YJgWAH
Z9U5LuV1FRp3lKhg2locie/ND6PpccHOZ+n1j1LOhyyzj2HS8/sSTcND0hTMLmVwkRA3VzlC+Tz6
WvXj0WJnrF4CQ+9jOKgLLcL+z+tFU/UZhQ3ak/RizvrRVmeKxc/tWDq3bqKfNeghmqW9J0VyMeLs
0lNdWpkjIkOcklQfvSJ4MAu4qlNtPMa0Xi26PpsqsFuUbN2DqrWtpNlkIOi5Pq3Gz7ZpcepRrgNL
Co+Wk5IezvJi5ojWedjC0Iu0dVPFtN2QSzI73jlB/0bLeGBfzodVO3LaV+R6vWXG1ri36ZPhrHKu
ua9Oy9G7Ce9vNPpHNe/GFRXR6CKouc9VdVHqRRoIJ9m6sHENFDOWMAnR0s/qUh7U5GzqDnwgtjKz
nx1ig88mYmWxt6oAbmh/NmvaGA1cbfy204sR5fXJGjm2LqWejWZfrWEcv4YFqJOVLgokhoEZ3y2X
Y2UH7zQTSfDMuA5qLf1oiuABTqTAJc5LL0OJF6XvgzOeZcq9UhwYbglhHwjfZp4yNMZi8Kc0oedp
FxSUEx0ZXtqedQTZNtycMtlP01MzsyZchq1eTfVhR5d25BJCw7IexxSHbDudDfVBrUGFvsL27yP3
QZ9Hethu97jukvDdpT6ywkvDHFiTZVsmL/iUL1plHaqo/WxH1/3EPdBzuRhBcvG0EnqYPu4dhG0r
FEb09GHFrYC7mPvlCbIj25y9Lp6Xs6fGzFbjsEb8IISW8FJYI7Y+8xBWWfO28Spt7U3HcWpP5UwW
B0xD17J2cz0edUrHm0T6N3rHuZEY6PYDCELSY8baFRtkauNuSBm3NUl2il2PN1Dp8EmM4ox4kLvL
KUr+EMK2tqPQVnKnj3WYgQWl41oCREB1i+KIHv/Gv5lhAJ/oPMIV8DxSqjF6FRb++yUNJsRtDxQJ
Xhh1TIxDa72gkI3iLNo5uvbMvQWQgvzlSdOogbfNTTUh1fNCKjG0x57C3kHtMZZym5bxyxiQ4mrn
FvIjEhpWqaFvY437KsX5TN9kOuvp4BEQwwW5LF6cLn5X04EOegls60HTOTUMcW2bI45t9a+Vrz/F
IdGIuvEw+PI4dfGO3hZ1B4f0y28f0dR+6OjUjhnuUHXxd9lQbDw8eho9qogLCsvixTAoBRopPrxm
SnYTwq21zWUdjj3JfVP31iFp2tqF81ShJLoa/PgKU2GOmY+IhXRSlIGOepoZ1C8VmTSU6qKdV2Wn
VhL1VFfGF4cGMjkKiIANmbQY6wXBanElNvrANW8G8LQcJKPTSNawLbSt5yLKiUrMLSX1/FVtBtfu
wMHbGvehhSGvD1KqjvGMuq8okUbMhxhSB5cnoKPK8DC45vIqyqH8hi0Jg5kbwubnJqyd4gYaR0jy
L8t2b3qrvPZW0D1ZTcyZKLfesOlR0qk4ST2thzJFMtgpgKpp82I9g3kVU37woA7bSUUfWn12Rco9
RFf6PbfODdycceRyabOa2HspLtCRPGCDdBf6uUJujv0jTPnYXde48Iu3wmoARLnDwbICUrbUmsgS
46uMbTZJ0IcQq1JsTkzY1alKrUHftrKRd9KaIww1a8HDq7Ws34Vknb6NejauB29d5Lyp2CoeMYad
85FbAL3bE6LNB6HGctshCgXqk91wiwaD+dHNWzqhagiyseShpcq2YUkBzxXriLmtbOzz6Hpv6cht
a3r6izsQNDPntNbMudTBX8h+nQ58xaeCHs0bTxXbg51VZtdsNNuNaQUCFvewa7vuFHjC3rRB/txC
+NnisFTqqazeWsyL5Aw6xWEOTg3UJu5wFgYd9/ImR7x46nKwMURTtl7/lFfYMUXR3NDdfJ2y4cFw
veFLHHiU72jcBJPzOdh2urtrWm14jgvr1PdmeWDzHW3iIfroNb1+zGSMFsKzj+As/L1Jtoqo+n3l
l9FNUCHIl05UrlsRYMxLoV2hmnmN5IR3pIqTPRVUPTLOyqPkgMNZizF9iZhKN3q0c8e5upqqmklQ
T/c6LM0tFzS5eWMe7ZvMK1ZVrekbJ6rIORXTtgDJXodIoRvxlA+OTvb4sie3uOwH8jHaDlVmQyZo
kI2k45innISOVW2LexsCPDADOs1OG+1tzTuUYG3xruaksRMwHU3e2Yim4qpNyk2VtPM6yLp73eh5
MpSwTDTB0cqqI6TBagejBddaO/WQk9EdxlX7VRucW6CZ2DZFu4vMSO7HMjva0oKCYCePMuUqys7e
gNGyVEsGGFSsXvUGYYKPZCosnG3mAwk2WObZ7ms7Mn3o3WDs2gF6OLah2jROvmvlgPvqYk3DVvdY
b/Wj9dHSsP5NASO5FiQstAI2JpXZcus73P+TtA59hrtuLFDQm7wgRCaJtALOeJQwBfSUmEkS9PJ1
TMhBTCa9rOlf08vZuxMqJh21bVDjvOtapIqDY5OZG+v2IRxr/AETYBujuQYZ2zEjEXA9Nf3ek/Vd
MoA4saH3b3K65EZLimXjThgx+v5TQwKB0uGjwuwRHZkeadxelOwlXjfXK/WN64b1Af3BtiF7pmoG
XJlBHe2Hzj7gufVBihTIekN/2jgloldYECQ4s/IzNP9L36AsREfNAKFe3WlbUn6qaGs74btZu9fc
g+l+melys2CTCYSidRpaQQpBMddovgPqBAxnksSD/FFUltjPWYhtPjAPHdzKkFlhP2pE3I8ivAG5
R3oC6Zx+le2mvvmSVihoQFCHoNiTz0Xayq2ZIobEHIKgd5cYCpDc0qtRWn2PPHdQtNGO3RtU3qi/
cabmhWZagdsQj2EYkfQN/m+jC9YGc+cdvJGU+zxnmW6Q65IbXASzWlJ6huj3fSePNtuHlSeNcy5g
UXoTOwyNZbINj3w1lelFTZjfqksQkgEiJRHrn7jg8uFet1a69aG3AVcVAsOdWhQk7twDTNKOhVap
PiXrLEfpEkkm1Qdi4eIolPtl2ZqEquE+cWTNh7QFnOazm4n7ttzVGdhACfZPh0dNY58jNfmAUJ0l
rPHWyzmZTe+5yIt7xqQPhRfcLkvdVnlePNGOGOzis/BYvCVB+0gvtBBv7cT7JhvnIktaLPGl8MU5
BzptiTIgakPv95FO+y/SPtmMHQyChJD5QABm0z6o/6XgTSc1+bB1h7INH842SP07NOh0sXBBsW8r
vE1WdTvB0q7OWWhkdrIxVE+XXqZX16fQ21psTHfIKtexBUm2tzr+PqsLZFwMGxh7/TDjxgUgqRkV
hlQ+xlhttoAbss5QZyH0FNMpcl/8Jv4yF/rZjmuNTDrCQi3O/zDj083Yp2E3iq8rPjFaftg32JHs
Rc7JLdJ7tyf5ybWfMs+5lVQOSwvlJJ7PHsFS4atbzJ7PNvM07kRUiHGJxKCrnogRyOBTJM+Q+6oD
3beU2OQGSHpTHM0+P2mule2Cyhu3fpR/mqxbG6NX6dq42ehhq5E38NiamurMakq9/m1J1eZ4VBjn
aIIQEaZPaGCBDs5MqGpbCnTpM7R2zaK5it7z2xUaYLNf1XI+0lPZeKVP+z3js1aH3Xnw5AtDSY7Z
LfR6ehCmfoeCptg44KLQkE2EIjjuU5TKA7AAQKlQ7EFQDsj+DPwuwyNm12NUszjuXE48K3s2aLss
it41KYGBdP1jUrHugUhAQmdx4+CNXtlNjxdZnJfPoIsyfwsU8xAqoBT0P1aEhdpbqP2xHk4fLGe6
dBnKvbKOMNZiKUF0Ssd/2SWb6XwYXe1Wt1lqOTrF6pn70OhTLi51EILkOqm2trmT3ajFFOeJhbja
rKL6OHb2ixtLcvKKCRejODkV9wSUj4cKMKHrTscU8Y2gDDEZ87U28ZtJzjPUn1b1DzvovwzFi4Vu
oexwScdcI7kZ3ktKeqZwDkXnfS57QIulMZ6MmcXu5EYXQkAr1DksyfwPS/ltOXhDzTmlxfUqMgoV
MZOUEYn3FkDTUPCbWpJR55XdFZVntd+FRoSSZZVEzq2fUUsxxqOXGQ+jETmUYMYbM2bG1GzkmBl5
fIS0MmB0efkx1cFvM9q4I7FjEVEEy7ZNq9joeGlzYqHBIpi9HiCNlVmhPmb+rwJGutr+rOGJxErO
9jKxpqOalwUJaO2cv9U997Ta1PcFS/YO26jrFvIEsIYZAMNL6+NKrtACssSQuJhmeAFUZfWA+I2M
yGtIt8tdS5vQYF8L9rFtYeOpbQTmtyONU3Wj4fi+zrvmM35mUrvUzfghj/qvddU/qqFEfaohwHe8
bpcxDS+x8RqTFhI0DmEKac4wo91NprhBQTGhIuOqUCWIvuHuCcbx0Xafky58rTB/5FRVakcEzOpX
fseQMatz0vsP4zx+VG/T0VRNmUGxbJ1bG2MsOlU+e1W47BqSdVi1MpG8CO4O3CGMNJYF6yJj5lp6
A2Zb4VxvsT75PsZrzZjPlda8IxV/JGlpNw/jRobc/qTMsLkP6cBW4OdVAyM2pmBVN3CxdIpeff5x
cmLlamHfoQo+dhC+TxZVDbA52jpstCtaPXuDRaKrLu3lIapVcQoxC47DSo+alT6FByd1bseRS7Cp
aDDRsCBWYLx38ScROEidK3xOQQkiYvYaRExceEHEBryVWbPG+4iQfYc7FTU/K4GuA6iAHRHLGlUP
8I/fKh4YQC+ovtCdiV1P7cSx1d6aq1KM2b7RnH3UUJwDVU35LN6TaoeryfNvcOfzxhnVJScnFrxN
3iKG+i8UD7dVPWzTzscUYbDwIy7mI4Kum+V+aH3waE7Nzj5iQ4VsEjW989WeW/ZCFWpr9oG7YNwE
tvfBdMTBa2cu8eX2a9xn00cPtGy1/Yher5liko7f+4I92zSSUgcQ1Ffbe+b7viLSO2DghjezBYwM
BhS9Uz10j+kw7if0n1uN4v9qMqxgHaKmLtWK2qYKu+y0AlUqS0dGhhxcQ9tmeATV/EjDZbXUSDON
WRe4zSq3T4PG9igOGQ0cfA/QF6x1XxKD04Z8IDhjcGnOgoGUyl0WooSIwO0VfHi+MRRUBsN91fXs
QSEo45uPnhqnkvv4ajDDfFcnqbYx2CDrZvEQOqwm8xYtgN/gq+NvVwyvffzSBkWz6huGGDgqX/O6
N26XvWc+O1tCa8NNSqITFMvspW6n0wB4F1dtp63TFkEQDdcLFABWDLeBid9gzN6XKg22FA8dcLSp
Stivju4Rto2Zyw6Z2nJKk8tkx1Ix2VYKV2uzNZa2AAeEAhshx1c3ROwnVUku8y0umth7w23In8wg
nJUh8CFVECtLqtG1yblLZErZiTUyBoh7cm6BIDOUTGrfW0p6SKGRf7BG570bLQqIWNQKqgiRGb7H
5X02MYXEMxWlufjYoFkrNbbePqgfKBn2AgKgnDBpKzZ5x2XPnJtc1cvcljgso1vXeaswnq1UsXpW
pSkBMGaVY8pgxXhHlWEF/guZM4aeOpAoKliQwJBjzuqyS014AiZjsm26m+VebjTBHrWc75bV3PJG
WXpNm9K2GJvZ5FGZRcbDh262ytOv7ftARA+BUT1i+f8iaTDu0+rGmPRPvs1yu6QJAE7isxuV3sYM
Cd7tY+NbTcCxWF0P1VWRk6Khrvoxeaxgz7METrkrKzKi8+mThkMOrm50O8sHtI4In0K/PQIpLZh5
BUCWm4a5lKGUMM0oz65j3to11iLdK9kU1NNX33Q/aFZe7tie7+2gY3CT4DcrSbxQhW25BHVV87Y8
Li07T3cZAOqwei1TbEehfYci7ErTy09z4LnryWWv67ek1VlBqbLdNARTcb+xp/Q44Ai+GfW+e5r0
7CVLiGnNSJ2HVm+XmkRhOj6WMtS2LuW7daQTF9dNJQ7MQqvPzbybR/saYam3ASlA0I6Zxnd+YR0z
ag/dCPhW76vbHgUwBigsIxBoiCfrPADpQWevqyrFhmSwbIi7kdQWUz8J4FVhH8473aMzV/p+fwji
4bnucMRkUbMeWG6zPbrk+FnByb8QEbqzM/DcTal9bgss4UYAHWEuPYyHevIhqxJrP3QoVA1/QH1u
5/f54AUGinn90amQpxCa0V5nilKaqAd7titSsGEQiBEWoHrwDR66T0XeG0Sqms4fD3bhXrfxxPJf
VxkuQW66O3CJD5i7nevlwUHDem1z5wxBQJBvUPLn0/wujUgfmXqAPKhxNqExUD8IqRc7ISMNAIaW
CiGjnZ8gqHNwgu6aNH1tdE1cdxk07ZKGQhpHxjYL8QsWA5k1y0OU+J8kibdbYVb2NYjt7x+Wf4tL
Vh5hlXyJCmBTKWIizqZ13WaDdb189dO3ZogzE8P6dQQl9wiPCFQTdJaVpsQ8/3koB1IjEHfF4K2w
5+BuxUsdo4EufKhiWt8dTC0hgDisBmShhNHiET0lgfmUKRLZAARgNMdxq0NaJYBZXC8PXZgApmzU
fUXBHz7yv34QE6K3TRMqGoZmGtfLA+V+8e2rLiEbYzWrn7iDqk3qwuJujap7SHQ090r9sUkMHexv
HOyI1HI3oe/gyMndUyKiF9Opq5PVtjUbxyg7wEwIgG6ahD2gYx718kl36hM/Hm8dA7qEmaTxlUx7
tNFRTvaih73Ny2vzYZHbR6Febp04jLZS5iTHGXazs1gRMOiAdFfuEsK0l28ptFf3A6+xfDcONkgz
nZDnQeYe+moOJxim8nE2s/JxsrCAeAV1iuXfXLZhrcSyYWl3IwnID3N1S1FsgosRfbL0Ir2LoFnk
K4dgHyK25tVsJXjN1OlsOs2h/K2+JADvqzEGYuu4jckWwDCvl6969Sl89286qKU+sD56w4zxbfA7
UmjdT5ruggCUSXWEsxAcAamPMhqve/WwfDX24ROFM/BaJTO42+jjdeCk7zGN9m1C2/B6+aflQU/k
H9+WNQ4cmAfplkEvvRL0GQQ1yWs7/MwBPiQ9V7ko8NbZWISmB9n6Pd0mHrxpemU6IkbLnf2nSeyL
oX7CekTuZTEdPMuEXsJd7Kq7E7i+vu+s+FRlTcDl5289Uot3VNxP9mTwLyIQrP9tfduOt25XJ3DD
KIebNQShiKFmQ2YA68R6O7VG8A1I3ES1RukOV84Q6caVFT0sIOQ+cVA8Zmq0WXDIhV/so4QYdNOq
YgOUmA92WgDR0dlT7tNR3IZevKWVKA5g8UrSRXa+2Rx5rsOCrof1oP6Uo9v2Ls68u04x3pKUGJxo
BsrazxqEZid/BUHdXU97q9O7694CiLwAkgOk8ClLQn5Ggj3Ebo/UXUoRqLxVmJM76+Bs1FfLg2/V
f3wV2SVYPekxc3ZXhI9OBMFVcMAcAMALq2/5avk3O3gZAn++onosmedGyuNhpJLnS4ALwvfarYAb
vGqM5vNkcFojlyl66u8BLn9MQ8hhJkYD7A7TwQjaF5G4fPJENEyTDpSBLNKeSufJJ6VVdHAVnNYv
T6W0KdKRPWix5cnTOMEtrn/xPWsfu8cm1g9hMX6WVXme7fYD+Qg+gSfmYWBdys5XxNeTYAkfTOaL
HePI7SKFdNTCOz2nhtEQZiI167MOTpacy+ZrxaK8rdNOBe6U23ez1PDIYF8bBs++CidyKg0XGZlB
zrrjloCgcItLt/kY29mXBsY8GxNlH4Ry1AVfxsq/TBaMDrd5zANMwoRr0A8Zd4EWArCz9roY9qzL
PG6JMTT3c8JaL55Y3HYegegoL57bcNhQZFmXfbCLGJDreGRsg4dkmO5tGjLa1Uj0U/NTPfNH6jl8
90amuQGSArQcJLh29iEog4KehvcMB+qL6bZfzNyg7vUQJc4IhpgVHOEJJMln9cdBS04z/M5K0IwT
9HsdiDEQQNjMTq04ZUX0kVHoJtHD+kozaE+5VbkXXXcvqjJbg2GaDjMA1AxTy9bs/Yb6MBPcXJDx
A+ttVT8A9AW/MST1aXaogNOKeo8F2VBLlcfSuk1e6Ef1NkK1EUjj595FX4sgkRV1uvTrfNlCpysO
mV8/GHp/1blsn5aKXiyDd1UKGpcNlU6FxUMO3wr/WusJront4VxLgIzYDXHHUYaAzgwaem2z0QFz
TlkA6N2qcev7pBq2ppNcIqk/mSwWqR2yZ/Yy7AZwl72euoC9lJCQEnSUhdIovYjK01YHq5LXv9fb
WD8FF1ue1NkVIGsCTCkAn/ykL4IhFFhdQ/nKLOxDPrFXKcn4IVS2Xo30SNwy+8JKz2cbQy5ohsdo
KXdJGmodmQgSVe+2YdVNgSKC36x2BsupDCgzWh6K8eEqEGxnWfKosnBzO8YOXWabzWXns98mSnPo
p3fH5CLoYtaEuopLsMvVQLWniB1j11SIx8UF+oW21ggzpGO3mxmuWfIrF75GYkW//f1JMZSg6wd9
nDopaEgNF8AK+sefdXmBCCYQCumhzoxzh5yoTtiyqkMiGeLGcI/zcAjIJB9hpm5+/9riT17b0MGO
WxZUNUSx6GS/F3w1Vm9nlPrTQ6k63pnP/osXMsKzTZlBE/ZtIaZHB7XINBpnz8UCMgzEkkXvtEUf
oQVPbMWx26Brmbr2huSgK/JR/kqW5vwiCpO6obu2BHEAuZim4Y9HmdfYEC0n4bLxOMqwZYPoNc2w
YhhmM6mMYqsc0nrpdBI6H7oqJGPVkAA1QdVCnu0qy+mOdKm3K9gRozW4mGov56WoP90iv8CouqSU
CrkmdpZgUQa06XPRRCxu7xcJYqCrfbsqB7aVdVt9jCeAhmPApnDRabBNeKcR7GxcECSiZyMvkhTD
NBNuMI/HRB2lZ4Zi3aA0Zy5Ob3BfHKBkqJiW/nHKwrcoH+6ILgICyYaNOs/FqYfHtG76tTV+EKrI
GDnVlZ2zvg0vBFH2+9qcntIx/JYX/3/U+xrmL+JYTrZtCMzWrqs7vwhWS3C/mkfp4xA5ia1YT1s0
qux+ld6kViOZ1ShVVFZeUaPpoR1N5Amljrg1eogLo14wHVBR9lx4wVpaNkfU5MOhwWOUqvmaSOl2
NxPXQJBlQP2klv0j0VPGrjSK09zIbNfr8zugsZ7BrS12TjXtlmIzTFOWNYDLsvASNBpCOIN6dcRH
pxqKeUSRDI8GG2j2KDoaFXAgrLoEBVEzFuCKqb5RZsAMRc2NKRQM8v0Q0phKDIhfWZF+dGd2xPS0
L+QwIxSauzWx24gvffczXlFWhernRMRS56fqX5JPm4IO2lFz0MA4buO8fc3kUq7PMsFKAefbEO3B
5l46QbkxA0HmAVKyND3b5gFR2UBoVGsEB/KQ6y8s9KhXUfGxKM0loj5pFLnQMPCubdk+LrX2Uitu
LcydYam94fwhUDEPjE3h25+MnuWeD82tjRM2WDq6siZoELJgHs6bYQ8iwiH3tCp3tEsgGcEEKS/C
jKfrAdnUOknts80P6RDAwR6+WAO0GyffkX11Y5YEIiuRgBPRaqilcwCY+xkCHIMuh1pdBUX4BqHn
kZDT/m5yUoxRnY4YoBvPpm8j1oBalAwtVPGiefn9AGb8yYxi2MIxdN1xbOJ+fxrAgg6NiaU1ycFU
b1nNBqAdQAOX8qtG6jgsQycMqS7RfF75hWreqYZZoZR0ltIwVG36F/rdXxXf0pRMEjb3kaAi+TN8
vJ2cwSlBFR1SO/hUZvE9y+crVfomBBAt4nTlK8UZSY1nJb3KvPTi69UH07P/4tz8yeBuSvTWAouE
hSTyZ+l5F3W97+RFdGjDsUR5w10FbzVuyjXKFmV+Eq81W7V+tl+dmv5LgOQcSyRbMaUfQ0+Bc2vO
NxlRC3oXPQtSvGBpobGLyvEvlLjyF5m8tHTGHBTy0jBM62cdLgtsskfTITyMCVgAjS46ygpCopt4
7fngaSTfrubUcbc2H9sx14+hIE3E1WGeCn6RAvVpSqJh20Ue3Nw5ctdCVaPAiDP0WtGGOiuQsQZh
XtHJM5EPCB5Ik2HzmBfaquxlczUk40s2xcVGVwGJIqsDShwWhHhbniV7IaE/ivqJnMR6u9TEAy1i
9qnng0jMDZU+ue3JTdfSD6XdJoe0yrtt2UXhjtti3aKsfAEPBvFC3jrhNN/gHVzh5zOvIDhtAqt0
ruOa28YkG2Ut8LLvIql9qMsmJbmrp7gqdXiWiHU186BqjotUNFehblJ7Dmng6swReG7ve4cBGePk
kyQKHcFhNm0ykmelbt/nXfBuFxAuHfMASqY+FI1HQbsAHVg5dUj2ZnWqZFk+phPMGydhtMqmdjzU
UfTWDlHxbfXxv3+YbJp//hffvyIzqKMgbH/69p/PRcZ//6V+59/P+fE3/nkTvaKhLN7b3z5r/1Yo
X1Hz85N++Mu8+h9Hp+xIP3yzXUxND90bTZW3pkvb5Sgwyahn/k9/+IfB6S9iJgQLX3Tt/840+NUa
heDsrSlaRp635bCuvhJz8O23/pUzIf9ueSbeJ9ta3BzYmP7X8Na0//ibJt3F4aTjfdIpx9gOr5UD
4FfmJ/l3k/IBwDUbF4jgdvuPL8okaUKatjRM3bMlf/lv/zoD999Wq98+uj+3DfEyP65qdYmIShcw
eQXHpxNq8eOazQwTmbUW92mua0VYMZm6PTduYfWUN6aGhdzRKVvzzR/DOcYP46ZcijXaNPe5isFR
vrsG4WRf9dAptBfLdyrvPFBwad6DCR/SZXbNXvvaxwpxFs/EOsxkq7G2KnvuyQrBv1Eh1QbduYF5
lDZPte1OdIrspjlHgtbwlmEwhL9etVVyCAPmyZ30iBt4tcMONhbrmUAcy7BP7xLNMwmsGrSQ6mmh
UZ3HLTmGp07KCn4Q7loDv0g4lXdBV/nmnvkPV7dg7KWRGouAUQzm5Gf2RZq2Qg+eQNSmA1GsyeWU
mFrzwIr0Pfo+401MY9Ksm0abxvUYBiS7hdXYktHJNNzQ5O8aADkQdfrwrsuR/mnboU1l0/Bq8aTD
2gjsPCP6NrUj44J8KAmukEvi4tCbVHfJ8ksSukhhNtR7P7QerYHcxdicYT0WhWtAy55EqeGp9ZMv
ohkQ+IN5SSHvIEfFLwATRtQH3bLSbJ/N4QhvyHak/ynPGmScpD7OZN7bZmaup8jAXTqMZrzpZWbT
F3PcSd53c+gOL+bgVeYTT5TlVyccw5dADukrguO5ASRUkRwX1zXez9Zmu7SebLP9jM+gQ3sgB/82
k4CEwPSZz7lBnjcFjTzYVrEKGOgQknuIWUdiiCxhPeRIFKaVQQ+dWEajoMHcVL770pHmNuzyvmzH
B3zaqbEOtRhIqhCTblzXNW81QJSSJB1BSMIqt9aM+PB+HhsbCK8DO2NVV81/U3deO25r65Z+Im4w
h1uJFEWFyq4q1w3hOMnJnMPT90d5nWOv1bv3QQN904Ahl0qxKGqG/x/jG7Xt06FGI4FgBUd0MmAp
I1NAGcsHulaKi4BtMjpUieuUMff2mIw34Goxw0RoHRasYypS5VwI22B81gHk7s26xswHaGBkQTZ4
3cTUrBM8HEp3aiwUprlC7JHaQV4RqBj0oyRkiAlFh7xwV9ej9izNWpch6UhTc817oiav0F9m57Uk
JFE/wit23VPMiGKYuLTJmM+gFNV8KghCsm66syfq56DnZWDrY3rKVqG81wRzPI+OYTxpbScCJU7B
cGbm9KA6i7jwDSCjtresew2fG3QUuJTfczqAL0rLonOCOhda+pR+bUZboBfTrXNBA4l5x4zx3RVl
qNdzHzgKh3klIxcMmVq2qBF742y2WnNNRQMtEnnuvZKtkJdSZX7JafiHiPWqc+E0zoVgClRzROn6
QqMEFzdmEbUEIzzbjYj9treWfSE1eYTmrUdqLKxXdWlAsCZeat11q/HDLCaEK13e3pnKaD6yNIwf
p5EaKoED5WNdjoLj0SV7kj66RzwOw9cx1+poUFPjGf93R5bI4CRXN5+5Y97YITUb7b0ou/RoIP6M
iISjNkW7YAu3qI4ZzJVuV7hkGHapyI6gc5eghap6QcSPxKmpNMkE3LlAJWT5Uc6mDJrBEw9QN5xw
IHmHVhflbOr5brAuM4kCrd4dzaEuH+nF2z4GsfZqcCqGo0IDDOCn9TCasfJFT5eZp6pq7CZ1/+Di
NAMHqCyH3IFetEqRR6BJ4JkkrA4tKzUfVKuH4mElZnGHU51WkJTqz0KV5XM7FN2dRg+H/InNZEsf
o9CJnV6VN7VeuyvMqZxm2LLYpGUnWf2QEBT56I0xAsFlFr5uFI4vyNIOihHVuwRPDo5rNEgMUMee
FAe+5oOGQXClB3awYxLFbMKjYSguhACAs0ZFz/Y9zAp6dW5n0ZcqIBdAwHE2sudafhs0XXKGAJlp
1SF5RhNgg0GwuruqSSrgc2V31NPaiuIimyOdPMWDmUkFAqphnJpU2zqMk+W71MOvitRzZqulDMnG
HXis5/hETDrf2smkSbY26UVlK3UoEGAEjg5menKpBqCABXDo2OCN2173aZAk6Nvy5ZoMLlo8XWXZ
tc5z2EtFBl7FWhQvGimWBd8x27R14MzoLofEdK55gTbX7QYZElFmnVnQN9c+G9VQR4LyGBdqe8cx
cBiSSynDDCFSSNUJ+XKt4Y5aVj3wYnAKS9ugVtDX+qAWMvXL1kwOitBKQhdQ2mh23N85CzRcK1+G
U5JB00lyCyU242YwC8dAajFqx9Ue4+ugiRHkKPoZJgS0oHyjD6THx2FTQ5SKTTW79kurf6co295Z
sqO35Vh08mHchy6dtH2dSdNXCpR9rkuulJKlZiBxP6K/NZrAcAY+8WUZo0SZqBUWQ3mgNKRdaOWo
UTFI780BJPkpa139XsEy4zNhOuHkATcoYFJRpILNxNebQbQHmJb3zBa1lSyHBrf4z8RUxVlL1eyg
rEr75LoLbQ2LVB4JyRUBstagxVoNP1tdCpGLbe8KBOAnEFmtL8dhuncpbQQKWcZ3GiMHOW5yg6YR
K7vOowilSf2/pMAaFComUUtJ8FVVuFGOkAxHWG1Cnsau7q7bvtQvNGPwkzQlvcOLDd+oVk6HYUSO
s+YTsamVnW8TLrwSZ4Mi2gi3LM1eo0FOMQHxcEmcPpe+A3IlmDW+GYVZLvRckDDPpcc5nLbtoZcS
1hzEqn0t2QEklEqYQKbqDAiP2rpQLQCYcHXgiAg/J7xxn8kVyNtk9TKQo8oc2qr5Be7i8ASOR0HK
DU171So76pe0PygWTR3YtPFetAwzneEpR8frLKTUmJ/S0h7oCWxdIXPJui9VC6BEqqMZloQOgouZ
BxgXSlMnjxR76ih3XZKyY7dr3+qhWg/GtNZ3JvWW/JCZbHYhtE2TfugyXIBX8rF6zYe/RNhkohEb
eJy1eVovLgcJa1fDnvVlNtc6ObC+bHvfbOvpyqSeV3tDS1jE2SbuzV3R6EN6kKanQUtEMrNYcQ0B
aSDe/TI4rvlVrKOpsyG+Le3/X++C/r/a31jq/7C/YUXIP6Q8f9/h3B73Xzsc91+aamo49U1KF45n
Y939rx2O9q9fEXo6u46/tjaG9a8tP89xbItn8XQPcMJfyAdD/ZfmeI7meQhVddux3P+brY0OWeLv
exvTsyxIILwz2zCoW1j/MCmnTtpYWd1lUT5SXfGmnlgpRMcFUaomaCtQMzpVg3EN0e+6fMvKSMwL
ToA+UY+trlNCrVmUO8tDhtrnjHnz3ov7KrKV+ksO5xtoPfYcGMi7SqzgV4oM85yYfo6VTmY4Gw3m
64pY32w9dAgdqG/uF7GECzCTIFHGO0O+q0uFlgWBCstW2hytk4dTAjC4N362er7iQsbKMRX52XoY
xLIGat194OTFqTc0zmGRg+HTXEmGbyLB19S75rNdzuO+xcrrU4PN8Gjlh0mNsZ1CLpuHmiWYCuCn
IoPpaGuVdy8zWmGrUpYHiRrXU+L8LlOs7IEZeNib69iF6YyzYs1VKO2F+Ka0mnfCpGS89L1ByaqJ
PyeGTO+8akzunJhtVK8xoTlzvFxY7k9BO44qAt8iMqExpkHZ1XrQSkUJOg9biecI9ZjNmzgrdXhz
TZcElpEc3ZjmWLrk/VXPiuvi9d3eysYrQTJUQ7I6LOJ0esiT9ZmeKKZ3mWXPrvoVe1s0JuX4oyX3
gTLw54l29b4AkYYkNIYPKIEcgnhsIGwdpqpzdrRuClJGEOPTHAVntLxodbmEAGZ5ItpVDYK4zZ8d
+9Iaz+40zQ+rwwdaG8kSVnNWRWuDI3FV8gvjEWVrnthwoamlVfsFc9H+du+lT+6savXOc/pUxGD7
YrM5KTWOPZUnlAXASVoqGXjvtPMXTwL1RzN1XNqMzDq9DV0q0AgJNcKu7AScq6AU3affxsSSrDG4
UJPpr4suSbM/rt5uvd3vdpd/d/V2Q2xKNZwtcJnbMykUcffFyEzRQvVBafb317g9X3275fYjIEbv
AJf86R9vw5Ruj6x6eGtwE59+v4vfb4WW9YJut2HFsr3u//Ht3R57u9XMQN2B2E5YrvKI3zfcrgop
CPu+/fjH+/t1TwVbgb0FfIiMPuHvO/7x4+2Ot5dBC84mCgr0rBcVtodKxT/BRQeS3M9XZNT2xHwz
gcrdmWPh+eOSIcryLHYPEJTLggQDqFa/L5TFzC6OnvM7vCl7kZstli5+N08m6t44dJoJzhSPuf12
cNcFs5G+BqhkTtbUvTGrb1nGumh9A4v0EapiorDzmitsYR6nkqYWygU0m3K5/WQkBM+tJH/sevQd
59yZT5M3rVEr9Snomy1JqiKMTzvaLKAubDkNbHNceFaqX0hxE6yPfQpwb5ajGuHtdr1Hg+90Ix4R
ZTmXisWhpgBzGOvJvAhhY8jbfupz+rbdshAeAKmZvX2MPuOy6tIChqAQl6JyDH//zkmGwBjU9jRv
94Dr9a31ErrEmXFMp8k+E/1onxOan0ANM8BS23Ff0S7gBKpdbC34Gzx5iImRx7xhrfs1d9XL7V63
C9XOtV9XDTeRYT1l71TiKwbP/MuEESrEfoFT3yPcbnUGaLyede7YAAOHbY5FQitREwYNlvJbFhOh
yFaxOJCDVF8LJ3slZ8UO22Yq6EhTOVhIEgvUASG3sVbzxbGd+bLIxA29gujzcpkv1XYxS72jo956
GL24h94+sI81zgUjPW2e5C55SCfT9pW4p2Q1VlZErw8lSJlc5HYxztI4dQDD1Rl9V24ovtthYS0d
nnBMWY7amOWuRvkBvgcwYxyqE7j8trMwwZXKelEQjF7UuIWLLYssWuuYaDF+dfv9OokGY5UrD7er
cjvpbz99bcyT4bkVla1oUtwEbcgWPtLwEZTeNPRbuMV9aSKPqPuCmAhsK1o64jKiX3CJ8UxexKrI
48iazeqfURBBgy/MyzKvWoTZ82hWlG98C41vAIiPk18RVlgb1uvtxGoNALR2AkUZOH5+bcyquK4d
2AyiRFv2ClylvdQdFhpxGG+W4tpDcycljXYjNY693cVil0rxmIvioaWsHFQwxhHTEJaTiY6amqzz
aMiWbj8r5N8MldDuHasIK8PI30i6oKkdy3vdxqajE3x0mpEeoI0m65QMeLIz2VyVJ2ChE+vqiUwI
nLNB0xvoZ+R2n6nrK7S5/PTrl7+v3x4oibf7657/uPvtqs7HcyDJ9v720ojdnF29hZfebvz9gD+e
+tePZZF/6mI9IXbrv9/J7fVuL78WxSbvmeJ6L7Ct7v94E3/cHxqrttcFYTlCBTO4UxqquLcLV+FL
+/tqpsuWtPO//e526wBzMDTNJGf/qSsard9YJQxLAFAamkBZ8jkAi8AXzv5KlfUrsRaNrxbNV3t1
PoBUjteBqHk/G9M8lOu7ZarBzF8T5bPNF8hEZsNCUIdEb4bQx8ZjG2eOj82cR+jVHvleHsxQgjfx
6xIVtfZGJSeyqZfAY/XNVSPMMcGyZTn102iXx6RcnnptImtnGvmbkW2RSqgNNJgyIJrY0zVMlPj+
FQGw3hbo8E0X+GavrTIqcutiEZoF0w9RT1z5Gsm/sptYpLlNlCvUmM3Rxi7P01e2ha6QNEEkp+9T
STuL3adzKJygaAv16ugorpq+e8H6k5UxXGesr8zLPW4cSpFEJMxUNNw73JAHKOHkphXKR1EXsP5T
y9uL2T02SQZ/1SKnrOrW1HdJCr4MBVMtAyHOerKONSLM+dgjpXWBUo6dhxh97PbeVqa1qjjKeuyF
6kRBNW7mKIHyu9fTJPf1hh20ISTGHNeIEmtcKLarc6ChxEdxRl612+GDbLyZsIxuekNNSLhqbmGf
NJxHhc+hTTt5jJGT74pMqHxH8NRNCLB8rIJf6hFUB3Gtg0i6XWZ8T60qORTqs62RNEcL7rooNOn1
onu3RQecPDZHTNGYqBbPg+VZtFGN/QL6I3mQ6LBeat2hUL9CAQFO/8H2UJwTte0OE6cnazH7YUFO
cCmz9qN8dYbc9ldUIZNCtmqhDu+dHWe+NztfMcjTxJyJ1Owx+NYo2QyPXoY7bTDhSWFRMWNwUrPN
nVp/UDZKfO+Khf2hppRNGqKXRxrcbyrN4B6zGrykBXC9f1vX+EcyeEen6hoMtMYeG7MdeatBZ3o2
rm0p5p161tYxv/acjj0SMcSBHpsGSpnsPSrMI/XJrNT2U9IdEo+6eF/9dCjM0hgdkPwk3L38UiHB
9Du1OrYWCv+l6C+etEELD8m1pJpIeZPZDYcrZBb0MsSKjEbrnY10jEwdOUyjGR/zuiyPNvVywiXa
K9xGnN12TP1AQ+3Xc4JiiL5vlfG5GE6kZWo7KGMsn1eiyizytX3b3MZk7xM+gCFoyEwA3IlNLjby
MMWWYRjcUbVwWSSyUACjlpj6xAyWHQavtL0wsfjfcw+aLj5pjfNqSnI5qBUfx1Y1jgMK12Sw05OD
t8sqnatYysb31FOr93lQabhBFt6jNR670hI7zYVOUgg5HAdjOmpZMBhAnNUchZqhHqHeL68weT7Z
BlwmG5X4nJNnUti6EebDXWOYKJR6hhUrxaxWuonwbRvLz7JYTqAq3qe5M15l1oG2AGgZYHnPQuQV
tuTYriVGBXSYeCyJCCrYA9IDMM8yu7e1DPlHkrg4JIgGqSE4zSYOXeDNfC3FezzkagT66X2iWxK4
U3+XpI4LNLv+7PbgmVUXfTEccl+beiItZ4/Um6TND2WKaHmFdV0svG88tUgQmwKrINGWBbijgyUy
tGToXPQE5aRe43jTPY7PsCzBYkgl9PKW5pEKiABzuU40V3fdljiUDfe2lefwLhBhVn1nn1JoHJXA
0zKry+oPtQKRhSRBhv1MGQ9aXyl+P4mn2PbccwUPuQb7TG/HdveUcgAoaA5SGOE+KKzkCRrL9vMX
V2xqB8X1yD9gKyf1lIWUl7DkZSlf6vUJP6MXuepPPXbiY+oQULQIAU05a/jbB3mvjX3OJpxDq4NZ
7XKq2w6ofYVPQ1oTcvm0/g41RvZfXQNoCm6lDA7T/MGOlU7QCOC7XBmr3KQizGOtYnwhXro344oz
2CBDCv2KTrsA7BL2UqVTjas2EOPs2WMEAUPdTRkQp9X5XI7Eo6WAzsjxZMTrRlGd+ka+a2XbByTl
nlzWT6to8KIJMwkUsy8Y2GGBeJTPrdaltamY38Vwctc4fu446DvxUNhlfI4XAR5LmD8TShg7vU8x
S2BYnRL7xEg1EVX22WjbqM0TtunIj3WlRaesBWyQE4bm5nNbMinhWPhZp7j2Cw40DCtce8m2HU30
6ZooALfXPH1pnZ6dRVE8GONEJV8tvsUaMyBsyp3WkjDQWCCHJyQPlesGjrQehadEBtoLM6ejuYyD
X3n4JQfkn5CaTQlajMZY7lwMt7hXU/eJ6udVqE9iGq4kaCLQ2CkgUkSLUChnOFHNz0LPX8nwo8RN
iIw3U0DPxau1jjbR9RMNlfKpZufZWDHQQqvG/4PjRyB8l5qGmt6JYVOX9odZDCDDRg9mFIITL/kG
XBkJqznB2mnSc+w0xMh1Xgr+ft9k0L8H+6FD6jcomNZa6ToUSYlNfqjdiuZGYz+XrvqYlXz9lAQR
dVZ23/NSHKc0N0Ow5d/In1afTOWHW4xHUqe8p7lBJ75uUHZyUoxGO9bW+N5KFhbu8jDpgpV/Ib6Q
OS73StaMmMQFS+R1v5kV9No8cNgJONRbhCR1+mNqzM8AkrYAV4ZxWcdZQMseIHB8xqKDZVfofIiK
c/RcBXHcmJW+PTLs1lb1BZ/kvK9sNNyVTD47qfXFKFPs8jOFLd0oX5KSoo34VBfrdyCZWYBfeYAt
4r6vdg3bPFGOsb7eV4QG7RJMUYJtAzmO80dfFtgI3UUeu54ywvyUNv1eE+U3u1z9VoZuU/OsxFeq
5UffKBlpUwpj4lidUtnejS7ph10yEmeSoYBqzGW9w+mWkspSfZBHHJVq9rRM5Ydi1fKY9rW/jEsb
0tDY4hrEJ1p4y/625NIzF0FAywQNVTve5dvedyV2AvWOe3IaCBeaeygn60qriy5/o6AzsEbkNnCR
NyaVl8WMH2q79yrSFttufatK+uijzRaIjCt8MLV3T14pkZyWcR4dZJn0+Pbm5OEhRSEeziNZaV0b
03ae78mLs4yeTM6CkIOpz8yDi9WGxMjkbRg2NE1rPpeD+rqgoUKMyBZeDldwTsZZGCeL9JiI6LkV
z63dcphbTOGme9bnqTzPm9dxMZt3hMx0Iyznh9JXP4TOsBnbWGAxRdBI7yoZJIVeHfL4rvLM6X4p
tsArUh7tymT3mbjQ4l2A8a57dLc469iVADjsqb+0j7JbYTanEvS3W62oBcy7vplwzpF1hYpjtc+0
Bz4h9Ks+ajsQa450apIIdAVmJNKx9gV6vtJzrLCi1LEr4FjumSdj1tfxUXdMcT8ZdHTqEXR5az+n
g/lTL7ABz6nAuNMvYLcxqe89qXYX1nVVpn1NWDQN8Zxt+HVcLI3j7nI2pQfApDNhRwL9IN9+4NQd
dQf+9EXOePmctyxG2ZHpxGINK/nhmXHRCCsnzgovItwyAu6mNAJIflUVwjQrNKrEDZEGi9rCd+zi
s2Itzz32XWbaRqWD0n62QLpGwENkT5tS/zZQmfEtfU2j3tBfp6XBaLB4vtYa7t5S74mD1jAyl8y6
w9mTA5OiItBx1Jjox2XvoELcmVaFsaFuLjoNE8BQBJuvIKRmW5AMudADzCTnYfMw6smT6pmF70qd
6WruX7YYTa0cT3R7SQiY16DQNzY+bhlyyweVzhnxHubsckw8sDrm8NbFXaD10/ZRsMPBwHrndFQC
p1re2wXKlJVecSasB8ROZ6vor1rC22FRdeU4QSiI7/XEROnQu28LMgx/rrrX2puestp8bYyBFW/v
jX6pZE+5NiCaqRcryAMtxQqQfCAqpOPm5KOfySasUKxQ2giXeXpKZQwCSUmuqgv4cx3Iusf0XchT
54ZLRjyc0ZV4MvTpYGjsY+yWVGGN5IRhKO/ybjMEMlrU9cJuzoiNY0eVPzlMo/7uiUbuUSQkQW3o
d3OpzpBV8KkRNeUGnqJ/r23FObMJQt5L8Z/ElNBbLQKy6qideToA0gQq0zoo4tomDcV7Haldv9lJ
T2qWQRT6wPRDaf27kT8PDZZmQwg37N3sKdXBZC2t4wYFk4Nfix9FPUyXZtPEEgQ/yHrG9FBYgVu7
bL4wcweTVpZ8imVxqMr0OBdMijbpZFQTKWH1R5c6ecCux95nrInNAtZ/Y3t9MMzVMe4oLtgMHTHM
gv2Y6KjV43vhmNdMukRu2AXt9Xl6IfH1oXU7UjkXRZIHrrw4nuh8skbYTHdRhRzGQ5pqzn00yQL0
64ZUhZGJaqFgatUvm/Bzp3QA95eu1dhB6xbLfEqkZEI7IdvKyOzFz1gdc7zKDhDuNKUTPtDTdVhu
mCv8TNBgyJAYg0fmQtqr2YxVGfrPUPUvsoPT0CVsegqpa+dibCN6DbQpVPRjAsXlrifJfpEvGtYR
pvD+aXZSEYgRyWU32NTiNLRavNfRcUufkAySfpwTISvlwYHMcrBK/EHQFFQNrJijI5wWnrUETgrh
b5lqpsBaNkidYrgh6E4GZks4NCo8I+uHo+rpGQPr51TCPsjIRE1Mid7I+ujzivEjH9liQG1MHefL
Iup87+YD62AocUO73HnUm+FqSHO/5ayqJiHjHDG2NqTBLvhKxtl+acme87UBTXLdqzqURFr1avFZ
iJmlSum+irgdOMbkJumEFO+Ngc2zWiKyGuoGgl/ySNJIxPqN5pFKm3htPgxK1lr32uYYJlCuVdc1
VRY+ovdsM4SJVvnaUqSAJWJQ9yb0ih0JLtGDWzTOk5JbADwS69SXiJYNCBCUIcwf3ipel47o8CKZ
M9pJOoGgxvSlqrvikKjyFVOpkL24tgn4pDTPSB1gbR6U7WuJr5T5hEKOo+SHHhiZlUOkEHNJbmRB
4FGzEg5Jxu+LIeIhmHuWpbpavnUGNeB1Jj44W7+zFVwtXQ1Kmkb1kj8mfGLUuCXz/IMxsYTuAaNk
M6mNg2c/mo38mc3m/ViML60yOYFj0/LAJEA6bG6S9Uw6uPGli+FpKI2NFxNBgL9i7d2bS/qSszOL
NNN7Glb9VDpzmLr6tVVjGdL/q1nJs1dNXykaFQeak69URWFGmP1Tv31JqUf6SPAJl8/NE4bd9IyM
LPu6ju12qsEb0qaFNp0Rg+WFjyHBb+9RmKDNWo8ugjZQnM5y8PqNPUlLNVQdeGfSfIVzbXGGEgsB
PP3nirYt6BVUFg2W0eZbLMbQSKZnF6HyIGboHUR2JItyat3mHajYEJQV7nyQMtSvYu9ngdPtUDfW
x2rk2pFpE9clZBS4beM9p0UfFJsAGfM5gZsFlo9umx3dRUGQ5Hk7r/ma44Vt3frFGCHopTFpO0MN
EKvLHlXVfJmIMQXABWl2zZ23Rs9oQiKJgDsSOCrYv3T9qpmVFsxNCyHYg5tgsVUUranvYrUMSAWX
lwWGq6MR9DhN1X3NKcL32iNHbxIJ1eP8vYVUCvhQM/ZMtt1O06naUmMhwaf0vGMx1BA6ivgknCWC
uMbSWkWzYH5HpPOCJ/M+Rwu3q7L5C0mP5U5biH8hBsiRkEEpT/qK6PIjKbCw1GSTTOfGMD6Kvgzq
md6rlg4JbNpOjez5O2tM+ezYdBst4q5Wt4pQjlAFrPHmF1MA0SvILItNW4qgRlAFIzt6hJKcOj9W
FOiObeLjdFiRN11H5aV80D0az4mpLH7STrw1RuzaHd07SEba0ZL8+blqfM8Eghytzb/3GS1w9L2x
71g2TUYIoL+cFQ6D525WBgB3DGi+0ivUJUXpt2tVHNAWXlV7aSOEILRQJzesXRHyBdoRtDKcUMWk
kQLtxE3NFCEWIbGyWT4tPaQR+vX5YWndqE8beTIJ6PMKkx5U5TZhMvCOKwgJu7HU0oupXDtJmo/a
Fvem7C5LSfGwdbIqdCgdn1AQczoab1U8WQFuTvoPaLVSlq9WTnt8UEyCwqYHJdVIdCaTENJKhmRU
MmdObRsMEzTKrlAOOJ5xkxheH1aa99Dn6mfbItNPS6rDOAJXMuxPOSzIHcGwbI8kKTClOviMT2GB
OYid1XVVI31V3Pup8e7mpY4pCwKLqKmFjVQKwsVFVGvk3VWxEwF5RzbBYtnjoUpUDU7s3Vh+Txf8
EdYUIVTs+ZsIWB6hgI2e+S0lechPqmcjf5gGgglblFFBHYs+qBWy0JXSjPeNRRClssGdlScXw3FH
mE+LsIlFYOFTBKJurj64VEshWXolJ9TEoj43rqlpvzhOG1puP4TtkhNsMK4OrotcPQ4JtYH5YseU
O8eBjBuj1h5LdzlbErFNPTtjlObzleCj0q9NSo8WkX6qWlONHlmizyTdQAVfM/0LvSl950RI1GYk
dmbFPjSlCj1Bn07Vr23iiSfG5p9OQj4YldME4AyQwZyNUtBqUYq0/AGG0qXS9F0GrOSCDeLUxUoR
aWvWQlIbH+j8d3RxEE9LCW1LjW0KOTmF6rHJ+C6W3lWdx7cE8kUAUoYDTExlMPazTSU9eWUlQnYk
J7WuqjAk8jRaO0qqhMfBvDvEmCzfncUOFahnD2lnAmW0URsuakX08QghPm6dIazcZD1NCpQN2gND
yCy+yafmLw5nAg2JIyGJI+dHh97BxBxr6xfLmMihWqpPw9Yn6pUGaEuXlmTzTTQef1+//dRuN//+
3e0hLhFg8Pe2x9yu3376x31Sutj7dcP83G4oEQaTLLxuEUKu/vzH0/x61X/7lG5OEpK6dLr/6063
12E2pAn9+8V/PdKR5RnEpmSVhuUliePjmLmCBe/2J/5+f7+ep+y1i0q8B3yV7S++3dy2w5k9Uxr+
85lv13/d8faXdK71JZnikRxDnjqh9MQz/Per/H6p24G7XU0K0mCdMl4gh3HIfh9R1dLKMDU0+HrK
p3gEj2h51CpTWX/keqv4iWpvGPSppXgHJn3MFXYuIzPmrOvsJKEH97qm+cXIppg18+MdaRqq7866
F0lDhrZqar7oqYQROPGJmKedRE1qauIbW34BNhXuE1PsFEh7YZjH8DR5tO/1fqfEgyR9CoWyXZaf
vKE5LgZ6Fgt98YiIuYTdtCI4tYbsTlW3lsmCzXFRHHzh4qIRtTw28tvWwmgXmEtyqK+1sX7JuhL2
QAPlSjdDgqZosDg7xzoopXJnFDPj/aoxP6HQ87uxJw6V+WQq4geV+FT4qigEDCvlrJ/wzJNuu+cL
W64eaHeGyJLgy7WC0CK9U9tsTFrDxKluhwO9+F2JGWFOV6LFbSTUNS7LqS++rrCa4Tk6B4yKgVDn
coPMf4Kk3u5ERrvG4aTdGfkcMbEdldoNKaRpO9BZXwxqecukvKPTATapz5ctEdmgZgvZU4UvlLZh
jTA+SBLjYHXLZ2Q57Bz6A7pEgcBLHsy5i4N0wjqlmjUENft7NRmzPzbL98kpejaIJgO3UZF3IpgD
taEvgnF9T4T+UuUsb2tGMn8k3tyv3gaVKui8EoyqbdrgdN8qqXWEfBsHJFp7hFHTQJfpSvQWWNpG
xR4HlSKOU81vFyoDplHm+6G/pVWw3RiIxI36yQRzqwzvzaQDCjazlylmXWHXck+z5/MKtI5CmkM7
qv26+GLIvy5MaoGCxOPQA2uFUThdHGJYU9N6bihxNnMrDrpDVx715x3DWODNiBesXgG6W4CFgFR2
Utf4EdwlMdjjWgVzZ78CqtzPbmnvSyVvDv1y4FbaTB7GfG+o7vvVA9VUn6ys/1LM6cO6mfDMZPis
zoON1pXsNzyTzuGmebJrkBR/uKv+ci/9GXKkb4K9Py34tIt0yzDIxDFYKqHr4/Y/ck+SGAFoOlCc
WhaaLsVIhIeT0VlINfLEVdQdqRm/WDVhqkpR6vRnkvjgCqrC4C5JMjUiJPghPRQNX4UYzlqheI/m
TLBg4hT3GSdC5XTPDAXif3jjNxfVP9+4rXI6YA81bOr+f3/jK5kD9kKNNqIRnEWKbSHXoJy3mwnc
AXHQUxqUpPKmeXJvySQ9LQawp/988Dbr2j8PHvUP2yDkiB4aq7y/v4eUgHR7Too0Qqyx3Ne5HhEx
l0Ss/DRYGI5yrKDVH2J2B0rDkmFQT6TrErzz+T+/j//NuM6HiFTU9DDXqUh77X9YgbNqWcw2c0Q0
1DGOHLc1owE0bKcyCE6dfB/JhA6r3H6B4Nlc3QyJf0qxZazNqI475Tp6fXNhQb9rS3e6CgQzzFdQ
OBONlG9TMEyjCAVaCEAoNq2T20/ot5UO9LxDP7xV6EmXeQwHH/OV7Y7jca6aMPMqwE3bRbpd9Pn6
/p//7H9z7m4WO6KsHM1VyTzbPp4/zt1B7d2kHxMR2Zpe7CcARoH0Nkq/cA61BdTKXNvL2EzsLcf1
aOl1VMwl/X2ArEkzX8pCjMdCnczj/2LvvJYbV7Jt+yv3B9ABb17pjUhRXlUvCJVqC96bTODrzwC0
92a1uk53dMR9unEfigV6igQSmWvNOSZ8lX7vm2G06ANsHXXp99uUGJ5dp4uHzi+MzfzJ/28Ln/8f
tH86Llrmf2P/LPL2Lf9i/pyf86c0Gl30P3BL246panjMiWb7WxoNr+EfzDeIjTIQqutE0v2tkMb8
iUIa24eOBN4yGef+Vkib5j8MFnrU7nVwTLYNmOW/MH9CcvmSUqdaNugIBiQ66y458+5k2/9lpyzH
ItF9fwhvQXnf+ZSlp85KvsvxuywAZe7HvHA2cYo2rYMhlfbRd8qD7cGQtsaqOKSJHB47NaetOwbx
qss/JohQitPsm+6292ZZxyxwTAjOcLo3GpMTpyXsEu3yc2MVd5mwbr0QeDeyKFd9TIb2xzjSqYcB
QVWYEhS6629hIt9zPd/aiI5v02RQ76aaet5QuFdAxad+50JJHQm+MyVzfdNYiFJbGcmlGsdnxcpe
jEGJtsVHIIq1oDlUuxRWtM7MNxgvx22FpWEZ+OlEUtdQGFLwImv+NYXFRjV6+CnNEGGC5S4Zpygu
kSarmiy4Bm84BP2bHNXkLiMEuvNwoTdjHaPxdI5KH5q7bvR11tQDJSPBYijyyPXp3GPep1NvScVa
uNL0Rt2qLsOd9IAiet06MxsqtGkhcdzRObIIPlABqWxDD4aHqZkry+UvNyWZCxR/y8CyN2gTIljm
MD87QbwRq78VWNdLSOeb+sptlWcrvUyIZzCnkorhPSgRyI+xVi9tj8K5A1NGaFRYLOzygTyCek0S
3LjQzfQVKyFGNB3+czeR4yPYT5GHOSgsCTb3XXdjxA2x0MxO7NEo1nSsDkRFiZuyCoFzYxPSHEq1
oCo3kU1tMuAbAO/ADFgi7Er7e3tEYUDfXF3mJjpgt9fb5TAChCvc4bYCbXGMXOBuCYZcmSHPNoc9
JBAT6SuvwZrwmR4+PloH+S1c37eggDcJMWYt47Dfp0lIDDuLQ1Q0wBxDW54Vo0LuNIqVjCYlZ65a
m5zImy2CgQ1Hyomg0x8agpCtnTjf87HNlwVW3UU/TLHgZ5aV8VIY5Rt+6Zg6Sb5W1CY+V1qdrGza
XsAHb4BUH5SANZFXx3Du0ypapvqHh2xiH2bdqxrBtK1lxYyaLBBZ4O0yEKdA8gyOrb1rivcE4zLx
rzoizrDIt6ZhDTeqStpJFOp39B7x9tV0t8Pw2Q+99GhWiPPayBJ8HrrOcQY+pyE3pZKLWEb3xLOr
NpWlyny3qi1RTR0eg1tHEfkm0GBMtfQCqdynjrayHDdeJMjBwtpM9oNbvBBzHNIbph8WUfGuvZwl
tum8ZbX/s2UAW6qjBtR50DfRSHlmkBHdcOrgOahsNee1Y2g6UKQ7GneCXZ1287JvNLhiwOI2mkXb
AITBbgL1D0gughxVEbTAUItfK8uVe4c1zKUmVkx2ebuq+ypYmyia64g6IFHE9RqodLfq0h2/GuAQ
6QRbtarJ6nHV71HUrgqWR4NrbBiBiWqyfvKN5zAK6Rsk4tJi46g1l9+2dXqsdeqSQuZess/WAUJP
G5GqWuhkiIg3LOabounkzupIUB9tqpX4+Zm1RRkt9b4Q+1gPX0GbnrE1A5pzKVGi2a0WUUI6hJli
0XDpdXs0VlF8FfD9mmCjmrnclh5gevLJNp7ikf+WvgZYSpcilwZcYf+WBRiO53VXN8NeUjFJTXMJ
fazd6Kby5hrZfQKS28qj2zwzwJI70wLPR29UBcNd3OFefIqidZpqw0qLWwKTVOwdAfH1oik2qh2h
xWR51VII3NXmQI9PrpRu31lpfRvGekLMMIybvOsJyMqjoU9ZLooJ4AnFM/XCBqHy1A4L1OP1pvkR
DbVZvTp8PufzvumJv1zXwxB9zkgFKXaVHv9yIYgSZksTxmVU7J9G4m/j0NC2eqqWBySgLDkstzzM
V+cLEHQZwknzo+1HMS4rp5HbofFusbhSOE0KddGgjYZpJ4LbZmyQe9KE6n2BpDJEis5AvbJDPJGu
Dus+pBSnAkpfRhGWSE/LciaNOnWGeXO+aBAULke+BmosVnaYL/IJmIp7Ct3437fhhNVWOWL1pSJH
5w7ZI4tuWmjhNBLGY31vRMWhJD1lE+jjY0EuhZEU7nm0mOQ1UbobzO5WnZij80WJNPRgBuG+azKU
LbWWHCrryH6VHELLvthB8NL62V0D4QpTNeGPRXByW9fbG45KAbkug2xXJ/oaOSu/nKVVm7oNHqRd
UFGYb2umDOa0HsRetE8ZVQrilVdu0gy7IKOprefBRkr3rY34UnF7HnHafjB9t9aA62NYiM3tHDct
G8TNc/q06pzzvKTNZyh5sYNRUx4c/d3rJ5EgMjeQiuOKUpy1CDSvPswX4FRreLQNH3je1FqGxzoo
2nVlDM5OqcF2tlN8jvQ4gScZ0mezYMS9FsXmOhEggORg3tFHfDDVrD8Q/RcirgfHFeKU1tQbgA79
noPzOwyzYpO19j6CIrtRaWyAPCZRQTTUdswgZT9JsJjMe4ABQmLZmlCitUnfPb/T9eLLbXrQ1SuY
690io96hrqMplDtrYvxVJV29+VuqMdvR863+mL+b68U4ZW9fr35uYQ3dOOCFEcv/ydwc24HafVRT
qIB2PixNSp2LmFZrCSRCYosiSaKffo1okprPFwYogLWj6a95ImHXsTuMU/x2YNIXqVT9Qx9oBxOJ
Q0fF3wp3iMIfpAy9KzJ0h2U17d5y2r3dyM8O16vwnfOM+FHukY6sx/V8V4ZeBjdsT+0eWQAam89H
zPfBZ9yYfUOmVTMQSPf3C/c5gQqoKuVifjVjOvzmrc+X+XyL+X2mi1/eZr6HIIsnsAvsp38/ZN6a
X+bz41zf6vqY+TZ4XGsTkH2wzWLn+5c7/9er8x1fXvPzo36+3Xz/5w3zd/bLn/HL5vwo3+1GZiAy
QUdZK8UvX9YvLzJv/vYv+eXlfrn/l835qdeLLx/ayUxaZy4xDykTcyxa4RGGQXgsBgC+m0rVwIeP
9W6+w0fnRhF9ekwW4C6hM8nmfN3KnjhIOORD68FpKBuB0msPburqnNR/u9mUTPGUKp7IDT4JPF4q
VoZs6f86BeBsRSeUdDk/db4+X2i4+lD2a0APe63elanbrspGIkaojnC4+SMwDuP/0dWVyml0bfY9
CO+U/gB5X8VhyEl+QGAg6lUQlbdOVhE9zw49864JPaSyPF2Vkcqee70+36hMe/689eUphUjbXd8y
LSIK9zBf1JOgc97SE7CpZsw8AJhIdphfpIAsMiznzd4nEQq4GKeQbL513vzlVuEarznR2Gu7GaoD
wnYUhgXUS21kMA4bCoexku7bntSVZex6ylom+hN+m7dAt1kHTYfXfNFOW0TygofwvRhsSPojh9Ps
xbSlgbkcE1gki8brdrOVRQPK0vYencSypRlFvOP03Rjtz0zQh5lfkIUpXr7pVf2GWDjT2duR+DkK
71JBIPvEiPuJ/eCDsdkQ6caAMP9t89cw8SP3PO/6+chL0jDPgb+7fotl5jA/n6Dmh8zNCBq0Mnw/
uiwOzJRee00F+z56NHLnh5jTD1zT6i2lZq3VOm1G5CeMgSqlHnpyzp7c23uJ2JApAVFc+GZA78jd
bNsBDYOqAQAzInpH1+hR8mN5SXuuEaxu5tefP5dvR3Lf6rejAdRZNY27zwf+/dPOV/Oue4+NIVrI
oqBAX8TJSJ7t1BGZujr9tKU0IX/afD0ZBza1jEiJZABm2Qh1raHlpX3f5uLUqY65S7u0OrjT3EdE
XXVgX/goQ4Cr11+imV96+jmuP0zkGn+kkydjAEdqQXjiKHGMP/09pCBViHoLNE/p6/zLzLt1oJJf
bLG8gLr/ucvO980Xw/STX6/Of+vnDj3tv7+7Oj94fsh87/W5X16qzXvJ3OM0H3LzvjZ/mPkqrEfm
YNfr89bnjWOE7lsNnPTz9wqUzt6pdJPnh8xvy1qTI3nelPOh9rk5H9/zp2Hm99cBmMxvdP3IQZm7
cJ3MG8XrHme71GyxChVfGdfzYULZpCB1bzC/F3VebomWSWDlhKAf5od/bkLwyQ70T/C4Mn2aBoZ5
T523rhfX2wbscOQi6etSI5Ti7zFp/pvmC6JYOOXPmwCJ//puPj99OUoqxydZoHPv2W6KYYTy6WVM
jtMGz7r5w50/iFkfdFdX9/OXjWmbw3h6q+t3f70N7xwr8wBmy/XB87tfr16fO29df8brHdfX+/Lc
KH/qEqVhDOOrmQfOzgnrfDdfn488vvGkPc7XPz/8CB9qESlChXDDoDz/ptd9yxvfAkXJ9/M+BgXQ
GTiU+A3CDo7Lct4Rf785v8TnUCWLodm5ZbpCLI1hb7qYx5L56rw133a9Ot9mj/5/+bj5acJ/Fyjm
9/P7z5+vn3fQ6zHju9Nu/Lkzz7cSO9iN6+sT5q3PR82bX6//8qq/POrrG3x9lqLVU9LgozaqqNGm
73A+jcxb83N/d9v1IfO9+jwLnDevF/Pvcb06b83P+19ftdRcvoHrU+YHfnmr39325VW/vFMwDfhS
Xddd2LFGn6b2VBKMvhq3V0/lvDVClRsp1/9l37zefb0NLwSH+Hz903f5+aDZ0zm/+PWhv9wzb/pm
QGKhoTMkT3u0Tcztn2PefAT9cv1z8+ut8/X5qfNx9uchhgBKRnQZk1GjpMfkuHpXm7Wtq+Ylhe7C
4qlF7Fh627ai+OaJJwLAsJ01nfrEcCLRg5TOHXVhxL1jVz3RXN2bFfaOUbOHb7mZ78izV550zfeQ
HRdk4Pr9AzLkaFPU0lurxIDv6RxL1bbuc4lLUDN8inpNWt6MQ5SvnKDFK2lmNyOQtbVCnQQ/WhOQ
4ZtVW+FQrUPvuFHmMe7rH/w5nIyoxLppUTVmEvbTJCuYT6/zifV6gcjkr7PtL6fcefN3D/9y23zq
nm/7fIffPe/zHUTi3djNFnsUS79pSjdduPOxe73uTfNIAkqYEM03ztfFdHB93vjb+7883bbaAeW5
U9LbnAa1+emZ6+Tx7fzIHjDfRpfV3XzHMB+Cv9+EwoPnNS3etai2lxhJiK0cBLq5FsM0Wv1lLMJ3
J7/plJIfunhGXAiEPX9NstTcRE29o2DnkC9jgMj1rUPvtuZzU0YXrbZvyCM9G3n/FrlIKyYYht5k
1jers+59qb6XBHAsp+F5HTH13wnNLRAOOoisgWuj7R+bVaeFKnoepVlVDURFDEXpKosnRyl1xm2r
dMf6ux2E1kYPmBmC8SMDorkEhKzsfOwU63QoasjQbbsSIVSiKG12ng/aSrOSo8Z5dscpflIToPMs
HGulKP6z3XXfgpBwiSDNEMAY6FCps1HlA4WUUwhfECxNBd4nKNFzcH04UpLg5Q9nWnpUKWzS1XI1
KzZ+EhCTS9FiKNmygDOagRjR35LTYjY+uCmz+Klo3q2JV4ylcru1S+UjU+SwzlDLrkvcHhGU5xTY
EUoAluBl4VyQB76FQx/snNFYUhxYN4X/0tnVnZvFCP4xb6c232pPdK/+w/Dy9twN5AJ7FaLm2No4
tW+v0yz/ObjgwJWekEq4kMjls249JPmlKlTvlnXfu4Mz86BijceMCrtEp36tidQEoBOWS2dyNRMk
VYGSb0Y73uj+FItOyiGVm3TNso3KeRNCxsvtXUrShxL39oa0G7gD0HJilSYC8M5so5XYCBGj5L2r
bJOAsoUGDYMMP5VEIONBFJV7tIbKRBKCDrFqnrwR3pbjBN6a6IKHWLbDcgL63cVW9xrS9k8yqTyS
2UTsrKs9KngDlzRjzQUDVHzsNP+Uj3W+gaVIQdsQyyGM4J3W1rgmiYkIKmESA1y9YYLBKYaSDfe4
iZkO8cqNo8FHtJX8W+ee8wHpqw6wcUFLgkK55oAh1t5YfbKqNFNtkzc0k/3a58+VFJ1zykydgl1A
63/YIoV5aRYHVEU2Sdp4FWCfL6fRPzSmUY96ExSwZYp/roUffFN3wTY0tQ5tCGYvY093UVkrJVE8
oCI3CQXWqqt36CVbaECpTa/C0+pvo9H8zDyrWaea/Wj6tHma/KdTauGPwVB/4CqACNgn8SG3Ckxn
hbZil9POLbleUEfDpVmLozdG7oOAmeEIxk7fJLSVfBQiqZudsDivFHTYOr0ItsTIB8DjL4lIfrqa
2EUEoK3jGnsnCeXnAbGNbosHvVN/jHaunxgpyEc2OoFq2/yWSKwrmCDqdV1Vr5MTeh15NWgxzAvA
pPckiqXwGsO3CeqJUCg9kAEar2vffC02eiHwodjNd1vQSoiH10A4w2JsdWIf9O8z4bmYmM9QC9Xm
fijf88oK72I1q0mty8lCacixsLC44nCubxyof0vNFt90B5J6R414iCISQRXnXQOxiOMyw5g7iRht
0j2dQiuXhuo84rXMJvIoQgJfpksFZ7fXMGKgScfYhuCzn3qJaZlBZINynlFqy6TYonkYb9KQ2Nkq
OVKOlWvH2Sc2a00tffEizob9guQndj+lVh7cgPfwQB7p1D1zy9qaRnKnu6m9qKMzpz/bSuC/V86e
EDptPVQPmMD19yAHlF28iDz0V6aLu1ek/rJJ+SIVjaC2GOJTzdutguFZt/oXTyCOTTH6okXjR8m7
S2ZlRwEMdW0oI6L1MgtJO2ptMsU4ajvTMPjQFmaXQj1UPv512kepszay5hnRIzwFzxHYjfWjW+Po
M2P/TvejdVH78cbt2mYFJO4IC5wiuarwJRTaye2iHbg3SeSK4qNiajhDDJyXsqAalzQAhhvmM4uq
rz/MwrR3FfK8Fjbh6CMT6w0QEBGip9Yc831bYw/MRAcr0WRFaOuEHCsaR3mA6BdzxyC2LT/qUAlx
8ktSf12azBugx7Rfy3oXgQwmqWVCy0YAAhEq08+msAttF/ne6Jg0ZaXZrlzvW9nSM9VJQFwEavCh
BO07ZAHA/sZdLwxnj5oMMkWtb6SZJMtQkn1ghcGJ0Kcna4qpyIckOeIkPRjDG5xa5ZzqI7tLmJ6E
ouBpyeJ+T1MOmXRvLye4BabELYWCfOFkPQ4UWL+Ltm6O7pSVCXImfWF8PNq4/wF1sKPmgwkel8FK
1wBYGE5yTzV+hQkh2qp8Y6vE8OKtkYTfY604xy7GZiR06FHrYoSIop90pb+MbXz0aoa3zrd/sGIm
wodirRedaIoTd4CQcUFbj0aoH5x0Wy+XXeWefRWvgkGgzgJlEd0qW95ZkYUaP8UXZBbjzshz73jQ
SnrBksPxqCpPKRaNRUCZHoC8bS6N6EVthLsGue/T1VfGLt1IuKeEMnWIgZ571S6XvXJXpUl00C37
Tg7GlsZcEoLqoXhkkMM93HiCQ7wiv69B/AjwsftOd5sDlDzGRWFmWFYRglmZ9oTdpb3DPlMv9ELH
byn2Xco3lDO41J6Mj7CJPUSa67q8EbLx7oMoEPvanJJQx7Vuo8h0kFOKDPOw74ldDCotoaOcIkGL
ccsNNgyFVhhQJKrqoINGXoqU+TgK1HWuo6bGGjLFVmsMfWP00IH2XQyZzWya1GRyTNFbagpQX10B
OdFU1ZOvXZwRTpvokVd8N7wxWQ5GT2lLB8iJF2at2nIq/FgWvSjcgVZEPmsllalp2R2tXsc5lBxN
5ZWQD2cbGGRk6qlSL/uo+TYKFcOqMT5KbBxRU/E15IlYsJPoK85dW9z2UO5c69uAUkNm5VEoKRAi
oDkLQ2b4unoBADXcaU5e7du4JlELXhonuT12aoXOftjtPZt8S5xlWzBe5LMol7DLF4TWMU4GK0Mr
x/sY4lK7SEPFXIyBimHdl2dfYMUFC7LW0U0tamShAw7l3gp/lvl4Iw3HX9Ov5ZuItE24L5xgiqqF
l5upq9J4QCXhEuJNrpZsOaGm9qQ6hbxZleOBsxKd4K7iEIygVcEV6VFfEGULVcHq9x4aTdDc7srz
wo9sSL6hNME1Ql3ips7bex2x3gYGirWTgfsjzJJHK5us1wHIv9ZxW8AzkmmSZj2EzkvG+od2tAvS
IcUdq5VEFVqEBXx3grDaRh1rh0E5KmIUN2LqVQ2kcDYF85agZSrGaAofO7yP+uboFKOzB7hH1z5s
wZ8wKFd6la4GzaHrK/A1dIskzS66YQATF92zO7gfdWVryzLDwuL1hIOHw6mfoqaQ8C6Jhh620AlE
OCJfwDS2j5QLmEYMbzbnYlev9whKcW3iRYJ0YmNh8NAWWxZrBqgzln+Q/FQ7PMHmRnnNhc5EvfCK
ox7RTM/cPWdD8yFidHDcPSP6UzaSIEyZ6qjWl0SiDk8z8T5i9vVzrCkREiAc4DGM1FObhvFqLPtd
rPQeLg7C1DscIYXlDXvh+2e1ASoVVHvssuk6mhpcUSe2eVzVUOUUjJmRGq0zYxqBGPyMRlw6KQ8e
8yBmVekWIHgLdgUKTeUJJuGJulWI7F4YrbqTcWbeZeMK0QuN0HDnKeG3fJggvkF9bvMBKUlYK7dp
oG3qMgdQVZbnlgU0EsD8nERyA1CBpYkArjS438mboUGI625Z2rhgQB08hXa1GpgBSL+8jx2QghoU
o74l9NQANBNCLV+laHvTfFwHtCVXMajCodJ+OmOQrkorZrHg+CkCQiNbplm8ZdnwWhUtKhs0B/jn
GsABEFtdGAQLbax2Xl6DgURJ4EEK5vMf9LF7Ij3TOeTxpVONaYaOJt7NyZbOnBsnogCETR4r34DK
otOsHp95YSM93Kcde6HQ2/HspdkDoVfvlmuJ18L1XqqaSNnGSH9GsWKv/E5DbUOGnTTYv8hYrBNL
f05r54UsvAUNUm3dkuJ4GHNoEznOTaVtxAaBOEHAVbDT8hjznJk9gE2yVlmagfJB7BRHylMeDxHC
UdgmxUBMCAYG1mrjix3W1VqVKeJSfkvbitlzimYV1BA0fdmFG5v5QD0U5cpFmLYsqN1p4apXjLMw
sIpWBvifcuh78CN4sIE/CPDz28Dxhp09EreZol2vbQAfkclER5dSLAPQKysHriW8vjud881GcQR9
mJRTboLmS7MWKuVNxCq42EaYeYXld5zOyMmSVeMuAlAgC0IVkrWgGppO7uZaDMjKy5ZDH8/Q0FJ8
Tt0bsuYhV3Wt9ZKxXIoDWvkFqrSlVddgQpCwjX2FCEZtMzwGIP1r2mKyJjrJjpt+lQWox5gHE28M
cyJl8cFIlibNgdgFawNpBNN1NoBjH0W6GMPRXtigdFe922wz5PZplg27oYnvMtspoA7KPQc1OlY/
4qO0zi35hgiuJe4621bxitb9XYzr0ZrYmqFj0jmpUaeROhevWJ1zwLEHQolj9A9ySzuEnhFu/CF9
VmODYZ6TFvgS0DMOjL8G0PChLu6laJ7d6D4022fY4xh4g6RYQvbo89je82vUQWMvfHgZXsCPZ7oj
zmWJwKqrOKDBCBkFjgFw6M9hiaGBvvcdMCF7i6Is3zom6WEaaY8dwG0OF027RauLnM5nMqNBhF0J
8nad8CPlu1yCBvW2ZZT8EQn7B/377fQR97Hdfbeoci18O32qpaAaNrQ7qw1gAMYZrKO8XonuVffJ
P3U81MabwAIrnVStdfyoIGAcfD/gL3Dce50lCOHXYKtMnNeBD8YAy5yKJgvXFGfhAFPvuStIQ7UI
YFxRGEaDB1sWPvLTqHevmRbo4B0ckFFjfVZxZNARKByqIHmzTgi72Hi18UA0Bz1Y24EG1k41iOG2
q2CKNeSPrKIK80NuaMHa6WKwpVr7KUr//9ri/xQt4yDe/Xfa4vuw+PnH/9k36Vv+85/Yy59P/FNg
7Gj/QESvaxiNPBsy5S/pMtzlAmia8l1IuSIl5i8As6mjSQZz49qI7yH+T2zmPwHMJi9nWqpG6qPG
zf+FtNh2/iWx0MWfQSOUz8DnMpwvcveqRgyTeV6xUxy4S3oQfh8Q5KiPA4WOreoXl5pxG7RUjVou
J6xFeJR8i5wELojOmy51zhDmYTW6Vf+ILfwY6darOxVwiHx2mxhKs4a9L3ljqnVyCpa4TBXd+BRm
5GMXZ5xLd1XunEXslUtLyC2igYXnkVhQASXaOv54H0nbZRFyh/dmA7U9WY0Fyx8NB3mQpecUoR3d
7YKIA4MzTpUwKUohsnTjyakZzSJJb6zCWZ0YKS39mFAzlbxoxvkPyliwUb8jjyZOIlSflRjmdA7C
oBpbrKnY2WNqE0WfRMuczPoYxAXAOAcCUg+4SWqXJE13ren87AdnVXvMrUDo6TjGzR2SzJMeEAOn
mytDEduq7h5bk/eOm5XnZH+Q43CvVEgjw+CPwVo5RptD8WBQo+riRAr+Y843vt6fEr84MlCGLFwo
1+T9nVDTU9SmpyJHuAzpZGGVK7OCDCiGC0EoZ4WKWaSOx8JTL56vPoeKxTpuuPhVtwDwPkVi1kqz
oRyxbpphG9npqW6jD42EPk+JXvxmuI/c7lEPrdcuCdYI50CNOEjfHENO+O2TncRv6I6PmN93XpKf
hNbfh6q/14M97fiNSVa5qScnrH8XMx6OMJIg1iUH4UUHzrqEo8WnCI+7pUWnEqpJmmxw1oIRaKcS
744Mii1hXxCsvTMWq2Xh2K/V0Gzg2F7U0cYE+qLSGVl4ZvhhZOwHgV0cKRHtfVs7ElUCzoqRP6Ys
oJhMNwxX23W8c9FAdEgRMEzoIa01XpM+fQssUKeC2BTtUobWjjIBgt7JeR6QjZ6cpl+YCPnnrsHm
OiY/zCT9sILwo2rl/fQ1lnCKK5ed2hwftWpbJ+r7QDDGQkuXqYrKMaf248LeyZN9lSBdN8Q9kzom
JIU4AmPyyZsPJ2fxQWriIkd71w3RgYSxRCMldAoDDvkGS3nUkKgHwXCE5/jhBi0SSITwkTRQNyQn
wxpZxTkEgFu7SetrWhGJNPLdLfUTUC8US4+Eo92L0nwNjeQwCm1plMmprmJCL3mPAQoVa/JLE7Gs
Z4VIYQDuR+PacHnkNpDpm6NKeP7N2uRXCZ0cWCcicPa/drj0BimaavQ6heTWScMg0bKojw/qkJ4U
MzkYHOeso3Y+MsCiHp7lWAGrdiGAjpdoTE5kGLJKYF9V6gecgD2wn5pYP6S4j7WSnfppOHB/kGf1
DM3kXhjIJuU9KXXPtZ2+Nf03b2gPrRifHaJ2p19wynpV0oSiR0YgKc9if9QCce9EyK6L8bkZulWv
UQoRCOH5k3zO5xKSIXF/+Hj4aZRqvIgGvb0utgW+PJntA6Pm9UBA8/ckzMVj1NdCWK+NbNYwZnYw
4n5A5xlRFlCD7R46BZcT+3aSyOP02dKAsUz07SMJKEja9S2xESeChtDzh+PRtvCt+xzryOM2WZN+
SJP6avQqevg+kXzUqctMOxO49U0V6c9+S9JL9tzyTRm984qRnP1FHZ9Vc98o3kNQNpvaiqnn15vC
6Bimx4tTy0toycdMxVkA8CCTF6Ubnp1YbN2cvFC/iMD2KS+9F9zdIMY9m7X6Do6D9Mtg1RO3RRHV
PhuOfPcs/4mIZliR8QdLqqMOAKFiZ1aCaN0OhyKwzxr+BuXii+KGqtrKFtpm0NtdNSaH1CWm2eof
x0q9lKR0yWnT2pGtfjR+AFu8U4v40NbGDhvDCTX6ppAcHkPILsE3bWMbq79DELntuvHole1jQxIP
MIpF7MvjyIEw/cMvQSnmoKBH56ThwErUjpXVvQMGuUj2zdrsHiudQ4xcJ0J5UPg71m4arKKGw2rU
5uJGetCc/nEasE1qM8QU33qc2dp4fNbi7K2lqqP7z10mHw0fV25kync9/KOJPGBF9nk6JKcxQfWc
cwhaajqIGn0ivWn0WfvAfe06SopazpnGYwHYWfRvaEb2ans/gyMYqBZJfwnbGNIb0Uw5o5vXnULp
2Ath2Bxq2VvsCY6P8KYOz9N7Zbpzno84TZ41naxyH2og/tGzNqWYq4BIYU3HLCtYKYREnY/6lHlO
sNVBTjnoVEV2CIr9pWq1L25MdwUHC1wK7T1GBbyvSFh3pqh1g4XuUhekKjLE3iThwBJ+imaf6KoJ
OVGc7qAyjMMuhoYBjhvUWpe8ZlJecEMMR4jbx5bkd2OKgDemMPgkoWjm52LAfx21AFYsif5Jh32T
qo+AEJGZx6ArIpuk+Xlrvm1A3L0VWQtHyr6LqG5uxtg2DsQMmId5a74g6vXPq9TA+djwdbLm4Lld
AwQaQTNpBi+9OeAsNtobp2PFonowRdFX+kvHCiPKLvUIEni6AAamHbKYRZE/Wi+aS3UZLf7Bd/ON
LNKXMNKbNctDcXC9MthngJu6tK/AEUTPmqOFEzN7DYuAIaRTdyikcdwoeCLAtpIXltMsEl2z4Byw
KJRXt/mwa3uDABjuIchKCh70Up2p9MAt9E2UEu9k1kDZrDqlOZZD0X5edBM7ng837kanOaPPkRsm
RTF2ZJhdLL5TJbzkBWtA5l/P7sJLrTeweju6rpCfQvetzjWXLKse+FrefSdtAWtxHK7JAEHA6FCm
IIl4WaTmsy0dFJ2lAAmp2AnDDTDJFpNIkLNjQy59T1ka9bl1dk2WxCGxvEQK7YizfO3IYliMHOZx
zeDBIZAP3T2ZD/es95ccbOvBZ6JjWu63VMVCphLaw2CjFQ3IxmYjdXKnh8R5dRT7bGVAsOrhMTGL
Mw3VReW7W6AKb5G5U0R9JNv6PySt/4sx2HU93aGkYrpT4AkBKv9swMOSaxIPlBS7zkk+qmQvtPQx
d8Sj78ozHbQRzn7FPEo61fqX5cRvvNTalOH+qyV5emech6oBMNvEF/wl+BHqX5fbNP4I6dIugwHd
hnCJfbqyM8YXJjoTcVamgFA8+zxNlf7D20/Owi9vP5kOEZ5jdPQc9cvbC8eRRuyXmARaJvGMNbiT
NgQLkU9yT9TzvQ12F90a4X8RzajaZFRjYhvGw/Y/fJCvITF8D0SV09tj0uZN///zLxAYgGTdxs93
04/PQvreYmaSKkfXUW+HkolB2t47E2qholOMOy5Pu/t8AIaFGyNNmbB6JroIE/Tgy7//ZNMa7V+/
Ig8GDZZhi9T5L0Zp9ANipGyY77yOJZSaH43QuFMaUtWlEExCLXsNlOLHvHuXDfPzdHhnJvYYNJfC
it9UT74bIQPAPD10rfESbHVbeSnT8bnl1EUS2hK0z2ma29nZQAAFUESmILYntkls7UIOgGmWrrYc
Kam8z8L44GbqZTSsXc1vIQJCGshsDMP+Pu7qtWa+krywqTj5IWzf5h3lZPd/2DuT5catbdv+yovX
xwnUReN1CIA1KaqWsoOQlBLqusbX37GZPifttJ8dp3/dYJByihRJYGPtteYcs72r53FLqpebMjpT
GPlEQ7AuzGYthy0Oj4YZQvgkhfNHusjP5qSfnRm+ktZcbAUcYpV/1U7P0ydvTQkHlipR1a1hBQI/
XWVyQE3M/i8vJzS14/AQNWXxo0Pxh+zb3zMH/urw0BVZJalLkQ0c/H88PFSIQDmhd3DhVULnS/kC
xnufZ+/Xynp6Urpm9/df+18ku3NE6rhy2bUDOjB+zcp2UMSwN+XMDM350GbJPYkTZgJNuhzvwBle
1raevs0Ti9oCqEjuhwe2u/taz/cadX02GABz7iOYiAVEt3y4c5yeGJPiRrPEwSBTkCIOvmhQFxtC
2Vr1EHf2sjIZSJIv6RdjcVxYD3tKMfG8o12tNWllDOZWpwAVuwL68XsnyveKOh2cEe+ctTyJoVJu
NL6TRO6cfzPxJUp04dnfb/QkO0HsRDX0zmyNMoXITgcNkzcpqafSF45n1fQnhkq7RGFAo1cMGFZ5
qFaY3zKARXZwCggEWrHX/1AYUctUUirk/LwPb3C1PAH0fYjhADJu1KjAtRc1ozpuSh8W62vDdrTM
YvDny6WrRvR92Tmf2+emnz8GlXKsiNmyR3d1g2aNnXK4G/iMQ8S0qZyfIlt/UUv4HjiKdKbQUvIl
qdUWNK9nMxWeK8yxWYDJyeu0y1RpQNKM7cyqPXT2izkoF7Hdo2I5zL7E6YqA4rpPKs2t2i8su9G+
Lm4nlYsW70Maqd/MkC40FDqi8ixlOIy2/EH79AzjbPyHQxuL+Z/WFx2/uqXAI1AN+5dDG+RDWeuS
Rjoc2zexpZv42pUnK6iexVsuzGpb/MNq+1erviFTctoQEEhlEP//d37zRp0hfOozi23KhqxlY1r+
8yX1L05ZC4iCrotbB1v7H18kjuoUuJdcbHV7KAjGgzxMltZDM6WbOkQZRCvoljb63bJQG9gtWXzy
oY3SL1Flg+o9JJ0Jz8bxHUMRnRaGPuo5ZdszqPqLxUJoFdkeZvqhLRu3TZJ32+RlIGuebCo6nVmZ
WIiRJD31ofo0JCzVTQNDF4xSRS5JazpgP/o7je+/D9I31ZkPXdcdgA0wqu/WlrY8RY5+TiudgQkl
eVucDOuO/MitwUZH/JEGdQjGivOsmQ8lTQsz9Ae7eqzoMNhwZOLpkmrJyRn7B8UyXsJ8OmDXOxWN
dsJs70vtfBDbJgQUJxmGXWqggSHwZglv7IDWR0u/QG3YJdHdW5Go9QxzkvxcCNAQxmgTqPGXweVC
mtmTxOlpmNK9Clk445tkALMVfQXxcnLDQjMkxguRgg952/hpbb3IjCvEpsQRihn+liAYH8QKrrNf
+4dlVP6LAodDzNFtdkWkHRu/dCAZVHeoufMCMgCXzyKHR16LeVnHvqmxEN8x6TuUBDpDgOM7kqZ4
A5VjhwbwXnXczCP87NywzRvYGorcuF639233RI6XW7NDF1u3Ybi0+XQXSeGxtdVjbSevDsPlqkBX
ksjnBB3DbKdvicrzWyof6Vj0Oz0O1iWNv8Ig5F5lzatpAQyc+VSjoqjom+muD4yzWFXrZfgoA/KJ
5fYQB+MHaKC3nMXM0sqTXvFKs72XdIPiY9ooNBfo3gXSdOfYw53S4442ILGV38Qm1UL1BftkYyzd
Gs/QodV68NBUO/RfzGp6qiP5wgaPNCoIdkxPqcaCdPBCNnOQbc+4Xki72+tNe5cP4wc5ChtRBBmt
aFloL04yrUwsfGZA9G05PpkG75jRzMnWYAzRouvs99SQIEKgyfz7L/ovVjEKN/Gfojl0tn/5mokr
InlgHIrtKJiuRE7pFVpSaxw34iDXuumikzZchf9wfMEd+vPyaVM+c4UG7oEH55fls9Y1kqX1HsNC
ZDzlTXYS1zm7hRvW+6PMl5HlJ9SonuifpcngBZq+bSh4KiSsosOpcqJoLdqdRWV2Q8uKIjulrdnI
iitqMcV8N2mk6EhZRb1k0yi1SJ+ju1Gk9svgkF8CWFEsGWN86iVp0wI6YvJrjeyHMocqLJ8/wsA8
RyrofZp7CdrVuspORi4/iXUXdeY5gTYcIrttYA0TxkMgFGF7hPGRVxBS9FBPlPXyweAfLSbfZqIj
sSOTrEtPhcZ+PFnupmw+5BbrhjiHQy19E+9ZW+SnRZGfkkU+1T3fS/ouWdlp1tn28btp3PmRRZiK
yerbZHtR6FiTfOg47Ft2rovu9XV27hrPNoIX+oGcsYP9IjoU4YCqIoq43Ornasm/RDvEHqYb4qiL
72XtbIZ8OhEy4SnjV5Ml627MT6ZO1QFY4gNTrhawEqUMKBkzx9MZ0SB7Q8q6xSjeFlR77TjfhFEA
XFAfC3LdGahmDuj3ANFntp9lfcVQ+VRldGIT69xP6Vs/W2fRtVbo14lu04wbVZox7tGEY+/1Id60
o1GxpMqlluK9DGywSfo7cYWPOTfGwTiHwXwRjysVPYSYC2f7po9PsELekMKfoms6DmbymNz5Mohm
t8vw0LL6is5ayX5R74YbZfSvm9i5f7Dn8UMpk3sxxlV6+V7ai1W3p0kOnxZp17ghruhNj5OTUvRs
NqM3XeevkgxWaLqvOfBxsqyMdRoeDMN4EZ02gpixj3ce1IwXLuGHJOPyQXVZRfdJbR5FwaRk85Oe
6S/ARxFFqr6SLmQUcqmjmsAuvJeGhBkvfUSnQRaGgcraEyayFr22rstoL9Z+WKI0TPdVBVpaHPAM
PUQZGXMZnkY+T1Yvna6AjuhM7MazykJ90Hn0EF01H3fi4lPA2BXNbhDqRMh8yBJ9fXHAie5rwkWV
JHMucjXdmilnBEF7obWGp2xhwhMtXEnJXcoWMiRqus4sx6JPSETa59+vWor2C3qHjA+x2yShVBY8
LE3+ZXeXkapSq7qRb1tr/kA5fFct404LHulz0fDoGUCLzagN1Y82JjOaETls4Ynesziw2sgxV3bH
HgCkunBYZndZalyX7esTWOp7nVDgNvEXntOPBKYXz3fm4n3vpI4nm4J0PaYNrFVj9NvbVAK+JxP9
MsUSzIGBa06BY9uXSXVxph5gYV3lrtajDSWzahOCqZONipLZXk5FGb8ooouERQU5g4lrXVHrt4oY
P4/pNdZ9mhpNSS+0K+ltyhp8lHNBs8A1I+ggarkZRVQSXe6km5+w7UbD8CU3WoWyIf8S60u0aLuS
SM+xkl2xqpt6d/BVFiex5tyHknwG/UH4ZvQm21QhSNA0ebpDNLkFzrqKlP0AL0RcwzPAIIHWrvEZ
kwNKqSeuu312cjgixfnXWs69ot0PzDWyRL6IZxNlUoiYaRzjfXojNZZfMhMQR0Vq6WfxJASzeQ3t
ZdEZkBgnpOq0FzsNvR0eiOLYGuX8MecCRLs8AUwmKUVZb5uKKqjs7+RjXFuyp6BLHbCLmkXlh3X7
lXX9g2ZOF3FCd9a/S///nbv/09xdtUU+8f+f6XX+fG/e2vSPUK8fv/TbzN0x/qUpOvUkqXKmDJ+L
5/st7/jK+zIg62mWrVg0lTinf4s91jWgXppqy6bm0Owju/zn1F3+bybtCu3CPxYiss3M3lAYtVuy
ht5G/2W/k2m9JM9BNByLQe+mOXLroDld6SSBsBxd7/28+e9/FgpnmnN1M/3906CakdbkkSGf8RQt
J5RTvH559YBff3PQtWQ1wNOfq3zXBNltkJFsnjGGc4lv2JAluUq7sXmIxqfSLtVdsYyWP2g4pmxF
ecUfs+O5KiKbsn5fFM1zvtfBTSZVzRXhrYdk5SNenozYJMisHzYyE/hFI995dCpxkXupegKfGjJh
Okl77PrIzdu6vxiVDUywJEF+bMp5HxTDKUuGJ1T4uyxrzJMjABudkxj7agRvrDXSOgokiu8SwzaY
5pU8hyJN4wklxts4MjvTgynwekqMajatvSHTI0lV6TU3Ea6SPq3sSBxbzb32XUFUn48IzXgd1Npq
ukYAT+hQWJ6IdEXYVOqI22wLKgwhxOsuXmRYWxg1QLG7iULGBjPsxKa2S9EudVXxpCbhtuUKsdOl
4WvUI90Lx+I+lROCAXsquwBN6JoraGQjYsMC/hTyRfmWvac/p3qlNtrbqRiAl28l+GKGBCJrLM4U
IhQxRGkQikXW1/w9iEZnPdhQKvVEz9aLER7pZj05ZIq4JeJGf2geCtP83oUO02NZ7k5zDHp/LLNL
E9XRhnp3yQvSoTXneUiU+8UsjbXO/Ky18tulsl+HklGPLrEkFiGNv6YfsCU2VPYS4YBTKlGLYoqp
8bZrjvYxxPXsjxPHAUaAb+iDSb4mtQRX1JNMN4WJpWwSUdiwKbHQwkVWCSYXiJeFVaJQzkFDsm9G
EkqiL/kqrRwIAjVFeygE6lBSnLeB7EG/qCIVfVoJWYe4GkX+KIeh8BLjTbII3mO6QDgau3vUf/XR
HrLc0zkhaXexEUZQzrdXVjdV7pheYSNZsMm09xlD3SxTYe5zoz9YGm42orV3fTzCth3t0keH8ASD
r9r2alWv+2EY11Um7cxc89Fm+3pNgom6GHfTrCAiBIurZhGDMGPmFJiafVU34Kos0nlmEk3dvgwY
lZuMQGQ1OuchGcNKJm0Vk6Qw/lRi42rrPWvy96gmpEsncWrQrbukyz5lWVjPjV1foFo2jbli2/lW
oEJfWYiq/eEqtzd27bx8x14S+Fp3qw+aijKm9KY0s28VRORqmH1Lo9SXlel9yYbXCLA/nSAsJlVX
vNnVDBum01eSpj3aFXa2nmvuSlJrw0+6g+S8T0p1L9ZXIgZ0hy9NBy5YnJya1kjXm66NsmUljbq8
Idy9YjMRf5lpTqOFuZgTEsvQhyUUYDIhTRMJfqSWK4ChvfagFtVDQ8jmVpLpU9tgJ37cWIBgc/05
zhnwJ7F6SRrzNu0kB0FgVLtGu4Dd7204qYzfAym+WOmwgeSL39WUD0tM27UhvHkqOSesZEo9gKUG
SK1ToqUPXQ4rgrNLl0giR2xsKHcSWbVan5PQo+iHWvK1JX6m4B1wNhEzmdRjBtciO2QQ9bx4HyLx
W8MWR1iajPMxWSg4WFGWcNBPWj6dYdxxaKj1tq91N2QbXGchm8OwtbZWrsWulT7OEi2E0Ko0D6zf
KbTsd6jP47FByW6nyVYOWgbhpn1XguFbh5mKSqu2fKNf6JNqJLVN9ooCCmVyatPeNNg06Yipb7EA
FDcB4xKZiZ5MyIqpJq+6Qwe1QqUcSjPsBrjQFHsG1FOKwdwmXMsWGsvls8qNrYkac9NOFrlIuv6t
Cia37U/N7KPo1rxKTyuvmmn9R7lxISmDoYxFCJbCDmDsB0RhRn7WmvhOMXu3hgDn4s8zULRK73Rw
4hUMAZUhArDtLIhjTx0APle2cykCLxikcJ+R/LTqBPvO0ieMF7PpY95Z3IHklRVeKnWJ2N9ignLn
JFiLU2taiO7JDHP20+Q7UVW7wND3zaJGuMpIwetL6bMehxcWJH6aDGunV44l+r+qHG+4GBwbLJSr
BKWHF+nZLUnJHdsgwjlnTALjV6wC0iny5jMyo3zFQJhLZfc1B3MvMqAfkq6ttngXvFIJl3Vndl/Y
I8lItG2vsy39GBsVHBmFYhVDeCfFvWcK9XMKAQXbjv21dAgXCohcY4qmu2VGDx8a9mdNBAlR4Cxc
xo0sqlANp7I7T1F5wpb4Pk7qXTPPR9yH/S4a5uLIWKdDkbpy1IypiK7si1QbNl3hsNTG8wXh62Mt
w6oOEodzB7uPsUDWm4Oc0QNi1nkMTh2B0pgIOZEBAqUGscDdZPlB/unERYtEFpkXjBZXXvSDk3Iu
F/b02o3o9YNGewvqwNV7nju0+i/QehYIS2IiO3OB9xbfzvmTrYbKngsQyqrateQs9NPZ/DKyyaK5
AkJrUGnSkJbpdvRbeUoofCmL3ignF9I4OTpVBApjLR2HPjrIFXnfdR45Wz2F7o5viH+Myrqu2bl2
KKOoMsq28YYKM36eORmZCWyqkGag7igH/LlO61WK8lkPdJp1tXJHs3rJCQR0h6T4coAyA4SpNyjY
4IfBWV05HTmniOvIshjGAx5FV25ozOrN0FBdNDb2EFxdLb4+5tqw11nYoLgd4rCU1nHaEBIR+6iZ
HVdDCUId2bIhjGLPKQCtaizHfhuP286e3hAOkeRatoRNauNnuJcUFHRtwbaxXKRXNUnizdRa/YFa
wSSlRK+42DsOb0ZjUzXppUusz7uCQnnX2B39SDM9SnJ+KFv7hl3i6C4krnt9KBO3Iylen+uOp5OQ
N4d5t8VDtJk7uXNbvizMZTg1bb3y5BkbU6YB6uPzSwAe1Z8odhCDaiWy+9gyPNYygmPQ8Z9rg3HV
UIPAhEKXbDorL09dVKGVKTAvmnTXZAChq0HLPy04+zgLe9airTzG3wu+yXpRkQ2grthZM6LDMXO6
lT0FM34cjIK2EeKnklROI0nFcElK8bhwZa1CNFxJCvCV13VoYLm4hes1UwgimMci8zAw4FiZZAa4
WgWPh/5qYyrNZkiiuwK64NGQKgGapGDQzf7EMUANku1qALN+jTOOpvLw3WrT70siv7eNdR9E9NAr
9A30BfpvdbTY/tzbBmpIBgkz13ffMOZHHMPJ1izoiTWB9uAQS+6VGL1djAJGMHzXwTVIXSRCaRbR
ueSmmQnrdlSyrePyUGj9h9qFYHotLDSOdnWrP+S5Xd0asOkDY8fMg2BFBIjr0LFPdRmXXqJwIV/C
avA0m37/ooX9sSVIyEzkGqKc1XhwUaVDNi9uhHfoxijolhqWmbAIRLnbLNT0ZMUPDxL42rJpzoAu
sYFoerklnRc7Ptc1FMRrnN/YxoIuJgQb0+BSqgTbSez2TYlmv1wpnLxl3eMKpLLRzAgCEswLFuW4
OspEGK2hJXzKTlof2kSrD9d7MLRvNCTSO1WaKBvppTKsGQEtRIaGhXR8luZc2ozpfNSN3jhHFie2
EXfbOZn73chlE6ZlVmwSeZBgyyXnKU+1nWWLst1ySJASNhiVPBhXCoPTrPSTlwyVsR6NBPXYHGy5
UByb1uoOWYDCEXnp7ZwMwXZKA2s1ytYelQwNhqle9t1g3WUDIbYO0RS7IKlp6traJcEIO9GN8VM0
11jlLH9WcHrNsnboqyk5IWk55SwkvVIe23KRLxPeL02Zo2Ovma+gZEM6n+R5pFP5UJPndMir+t5w
Km+RC3S0+V0r28tlkZfYr5e8XuMUCoigglUbqyaJ9HJgrUd7Sfa9Kd3L5AK6ATuLdTEQBJbJynOn
+iR46vRz8xEpblHeFOMxDDB0LzbFaVnU1AniZhFSrevNLz+z0+wjDqk4sJIN+8oeuCyCL8QiIdG2
3l9/KleWh9N13Aq/996ckFHJKGbhxP7nMf7ZGC6o2D+oQEOHXGg6ivArkbFAIrxB03W9KfNwzlba
oB7CWnuLO62nSaNDRb1m2zsO+ZWMZxB//Xjc1W8h5FrfFNg2JZXIQmcuAMIeTH0TWVeG1283sVZ7
EiEy216fouHAQo5wEWW7NeUwTa+IoVwPEsirAkM05IQS9kr7fCVQXbEyP29Gwae5PpwlbLG60az7
NpBR0Bdk0Ag60fU5rjcyCzsbEGvz80c/XgD1LuSVCIekIJVdny0QDu3V9e7PHzpkPZWqPG9+Usio
taBpXSE7jRMuu1A5/g7f5fykVV1xLrVwxs2RdHNFO7HxwNrUtZO5megfpC0MQKcPcj4uaWGLOiiA
O+BcsuOX2W/UYdXtQY7ALhTwnkiARK83kviUzGOK11/104WKMcBVmKoJnd66bfbXe1OuLYofS4gL
oZ1emXKaE1OYCbpcJRsYuPUJ8QMruK8J+qwp4GtlhbdmO5PoGAaOvOW6AD8QaM8+LTK+4OtjYiPq
PfUJ/mYSbKewbEh2Bq96vUfgQb81aDD2CijWVtxc72VNp9OYnl4H8U8D2eu6PNrHivbbwXe9F9uC
sDxg13MVSH645nnLIbWO4l/fOF8Sb9GpMK5bZCnF4h134lDrHWOqtmOebSLikjZhGtX7640x6GRm
61W9H9sAiEtYbK4/WharxEiAkSEtHuGEpBz4guFK2nS5J3+y2l8fFnqFbkfrvzMU69bIpW/rTgup
YQV0NLlij37cFY/nCMp16ggytUDVOVdu65Vad318vbk+RMxCTHxTOEBncrbhUOyA2i39kU1csL4e
OBJbBj8KcqAfJszoRryD6xu6vhfGpiUN+1pLyNYhjIpJvCqwqiwT1T6BmrIxe3Nf10u7t3Cl7EFJ
Zw3jhoSlRL0zdLR3q34mEzGhV80+gJuUE8XD+q+sCoHYu95wTv92bzY7Fvyfj6//W77+kKY8FoCZ
PfJ/fs+UkVT718ddr+bNyy/PtrRavmvlz6lC/0nWMcfdj7t67aDSVHpqE/HDZIiCVd7ErPM//+XQ
AgqcxM313vUfDhPXYbo3M0AADgk16f3KMIHfiEcEEHAQiXuO1qAY7kQmD4+alFabL4cyyomlMrxK
KkjXLnHYapSzP37DEPd+eUjS7MYxWVVAyMLH//n0mtZKHpRJEdvEZ3v9WB2bj//68Hoziv/x8+Ev
/0RoSRkfsaJfIdC0mTgMSyWQfSlsTLjCkdhm6/lNGbF4TjAq6J+F4D6v6erWlXp3vVvP6im2EnPt
TJdyxthtX/F318Xpd9Rn2ri1h54caF95K12/zWuQ1O/uXoHPdsNOOo6GDdhiFkku4dyWDiP4lOxI
/HX1XjMHm/g2+ZlL328M6+uff30Yi39xvXe9iaoa830PLEmsR1JlsuSzZHEM/+dxMM7yxu7FpBeT
aC1urvcK1s9pUOMtbeLGUw0miNefX2+MlphBIuoKzIszO7yZ3p9YXziBomZ7vTtJCI7oaXduJhbf
HM3vPhH3rg+nkOHGKofavu+ytwhjzu4nkFjjqs/apAMoHhUJc8nq14NQHJNm2NcI1PjiDPpva2XU
L787vq93u5hWaDqatnt9iKY33WQKQvuf58H1yJY75YxITFv/7uC//pufr1ErjImKvMLTLl6X2ALO
p2KigsVV8dsfeP2V1hRBBkj6Kwyz4+IlV1xYIq5+sTjJI3Hvl4fX/wG023KvY4b/ncj800RGQ57z
9xOZ8f9s33LcuHHDkPWz4EiYd9//3/8lUEX85r+tkPK/TEWx/2Np/G0kY6n/YlWgKWiomCQtRYgp
/z2SYZBD+glJpJYY6OB5/DmSUf9lOsBVUAYjvRUqj/9mRPNnpQhaNw09J1IkmfiBXxOPdLgdYW1b
y1YwL9LYpD8X+eQ6S4/1MdtapruoyGb3TMxh6fUP3Zv+ET50T4SGwL/CZExM0kT0rvTcVYc+QBiC
02PDTsYAdSNvncTLMfEx53xM8TcWpCTdEf3uqevijXELXAglQTrpRY/K9/rgeNbO8dhu/O47ufwQ
bv9eJvtnIbt4jwjZHcNgpTCdX2Q4TaDOeKXtBQ6r9dQryl3UE64iNiSj/tE3/ZckSUQFpvGrESt3
f//iuiOG5X9Qk/PqOt+UhaDCkg3tl1cv82Cqk1AjG/fRGQ/yV3nX3JC3IH9jhv/F5ZK5dP9l3et3
JUSkAz2Q9F5a2yfn3rbc5QYpqX6rEPt3ZEF+y8/LLr1Fo9qe42Y13vaV2/rxeX6zdVr7K+PeSjZL
4oHr/iifoqN2kTeV/UkSi+lLzvKUfnLlNy/6K5wjYutKklZWxgmH62KtVjSU2as/5o8DYAZtZ4j0
Et9y0MuswEohTKQzBdGjPeZHCAjfySPXtp2F9twjLpvLi+019/VZSV3l0G7svebl38pHqDnRR/LA
21lPz8XXspHuFtJ2T8EW4BotieEttLfjsb+h7W+vk895m3v4w2YffEparb7UA6OWziGgQNrJpNi8
o4ToyfH28ncawJPuSbvmG/66XPWbRztfEfOmqkTWr8IHsM3OY9BusuR2vpAoGp5C023sh/I2/Qx1
UltW0ql8MDbLHVEHxTMKexlDSuLxcYTH+YVU1fWYugH95K+EntzJNHeDQpSAzx4/ZJdqr0fYCoQj
hrjpVqm+MucXkuk17bRQrAGeKeRbXV7DErNum2/jwXwvL8FNV57Ve3bujPWGchuHbtS5zl28kc75
fjyHe/K1wot5AOwwe2bmtppbvWX72sY7t4puSUD9SnxseljnyH2h6f3eEc47rCM296ZnuMEL1pyK
+OqHLjrZBx0i4+gSmpf4BFkflo2+jnwyj6Btk7NjvCrfgxOMbfO0vIDtdrz8JnCzb9FJPWkhH21b
eUz8wELQdsVNmmys40S5mWzoIz6LMEWdfBQv+2xu4YpMZwK19Rv5VR184y7cWQ2zLCzRbqm6iHid
h4FPAiJM51rWkWmYuk3e+l3j5jfqncJV7jF8R8jYHjpphSn30b6llc+hDUypQywIZs485zfjDmd2
rh2t21b3AfshA34f10XlJtt6m704HusJFh+Gjifn4hDpvSr7jVW5k9+5OWfHKvsczgD0+oOaPCSl
W9/AH75pxZQQtTqVxMrCuPtCToJ1qwN7HFYqySVe5ndv5jamObRSfAfvi9/CC1o7t8Y+7FfRiYR0
MxfZudDdabR+NC6ljLo114Vv7YYE2Dwf5AoVZHKat0G11a1V4zbnPHfpUJN07ypAKB7pURKuOwx0
D9ze9Abi4XEafc8eIx8A7Cs4tWyjruYtGtpsZW4oLlFoPnbfZm87b6NHnc4NSAQYWzf4lcJuZTwE
b+2XRDkLPeo0DLv5mbrdF5qvW9R7EzG5G/KTZVhXmymkrbmyb7T+0bkdTt0rzmBzZb3Od/Kz7JH+
C5vjTrlp/kno/WcjCXZ+bPhESSpc5oxfLC6InwGzmIyC2hD9Fq1WNbee7bj9ByXmnxZhm5cxhJ8J
HQJ+pl8EkU0jzb0cKPXWULBR8RLOPO3mcPqk/06DnwRTean/QUel/pUOU9FV2UaJgZidAGKhA/6d
plwLa92cnLbd0v8m7CsOfGMqkm1F3YpwUpO+KUaLHjJbB9VTEjpIE+w35tyFF0DHGRht7PRqfiiD
YNgutsqpxgRo3Ru0FmNNPqb9dDOFwLEQJ7RrRWNmFcux7hP7aq8bVanWC+CAVVq3525iycgWoOSl
fgB3mNwUi1Yf9XG2PS2x9qm5Duq2fVKr3mAoizV6kHvEZkXJrM9e7rqcfS5HOWPHWcQdE19UPjKL
6O9Do1VPTlaQt0pXNU8tib1vWO2crj0yJiN5OuRCFsjVqzOUO9q1WZhb68z46MORoHPoaY2JAGwC
7Uqod1l3ezlPlY0mLzsLUNAa8z09adBAkhmQpN40boVrn0j1jHOjGC5xwVvga+9YDuxVgfS0bhRp
X8rADWGpPKsV8blI5zHBIzjrmy49qyPM1LiU71Mz0E/xUOurYjHRYKsq9FFDYsQ6b426uTWzOHXl
OV9PMUMO3Sg0/kj7S32IlIA1tYgmj0MOW3uGqBPrLdZSaQGSVJN9OsnFWlLJNtAS2Tp1rXVigA9f
WB658Fn6zdxoM/RO/R26BM6iDjw7Q8yASd52GFSEG53R7hiZYD5JLlopfTgqf1lhLA8GcWL8vavS
zr83pR5sjcrkeraoN8nQnaAf5G5XmgBoY/OpjyGJ6ozuR5L0IItRJAxAaJRGX1aLad4bS3gvVw0a
DeUsA5GSZuOiTN/rybhbKknbkH32PJnVU4UtPrrpZeJ0sYHfTVFxnwThgxq33xN7QhTIAbzoPeiL
9lnc10dfGWMb3BURt0auIdYWJEZZ4i2m+pZMm7EgUo45G8xYnShiFdxrniSa2yThOaqMx1hdTpIk
g+Vz+KZtdV8mpbSRMl3aNijmkoG2rAZpFfnF+FQgAJTtkYTYKrTX0vQJAc6TpexhqtTvgTXjaEWE
qzt0WeV0I6X9vGL/xRazNy9Av8LVzJWhOw98A3OA+pBPJ1tOysw0twrX/XhPE8ft6GLZaupVPQJ8
JhEigV18Z3Igrafs08nCtQVGUIsMbywsv1mY1tn1Vr+YGBhzw2FCiGIEV1qV1oChe4AQUIQm5tjN
rgdqfm1IK9+MQXKtRl6lFF6F8ZnAGZ3ul8Egh2R4tNvxCImIsCB5rVdiUr7Au51XLSXaMMUmcufG
PGhhqG/iPL+ZIyOBARlYqg+qnItG02vHQOrtntn6edHonhCwZHR6kCGoGby5UOqdit2KSWu/bVMQ
qytDmfpDUTdoAMJgo5dhiGoiadzSYJwRttiFK1Y+mqF269m454nAw8fct4QgIjUCnFf4tiKTG1vG
a6tFwXm9MWdV3WdxQ82mOl20qTv7EnRDgQfXaBnTMFzTcX76YySnZL+M6d4y35JUKFyuP4rtZ8J5
ij2cQ7Ch4h8ZkZP+uDeoH5wRyQHdNFOXkB5tXuuDHxLEsYq6jOVzcjBGRb36WYeqtFZJJPcvxOEx
/L9Z7lrGgJZLCVBtba89leRprOLNAF+Wg/dVfVy26mtS+a3XnLITgu63DM3ugWxE0/EcQsJWrN3p
63zPuV8fp8idvpqN4jP1zI/a2X5dlbcRSY2vEkPAm+itPerriUSNVXAu3/MDJbu8AuiqvvAdmS/2
ob2PtjBd9JVlsc7fWBXC4xUrfS4SofighJJh1L2mdfHEXxBxkdMWoucgnJG8JbK94eNZO+XWBlrN
+GTVvCpkXlpHRmP8mkWB6DLdMt7ti/3d3tWf8fAaAaZKPEKz9Z5fHL7ILDaexqPaMzjEc+sWKVWP
m3ZednY21lP5QCEfXuzV9GRtrI18E2+shpRzD8avc6t9Zd+WZFO49vvyLVlW1qZu/VKl0makRtns
KaZHkMIWnkgFKguEG1iFfTawgDqunZzp+jbGxlQOBEiGDOVHBCBrjepq/B/2zmS5cSbL0q/S1nuU
YYZj0RsCIAiS4qBZ2sCkCAXmecbT10dmZVfWn91Z1vveMIJSSMEBdPd77znf8bTuoOgBw76FT1t/
sDH0P7Qjw2jPkKFoIqTe1MiYaDHBEUS7403mBd/UzNO7NqxNh8KbvERsYwljAgsC+4nTlg4hvB2v
IWLXt7z3a9fgcHrChWhB6ArIEG3f1drXQCpPTrU4dFlzYqqRRJ9VkqgCbh6Aa1YYY8KNIbai2Zju
9M5rjGVlWXzQYq1G/JgjzOM8bJk5M/AtRm+RNj0SMS+5VrxanC5/0I1r7aH9vhFvvvk1BF7KoEtY
xs+2uc+gl0SMTx+nMZjtD+nEEmafDGNvfsBUHXdcFoUU8BLfci6jJ+uk/8Z4yMSWkqxnqDAizwbi
wZlRPONwhomXnkRyMH8bnnRdX8Mz9VP30YIwLx/7Z7gQ/N/RJ0ff9/JYB+NvarISFdyPtk1O5kPx
NVSOrG36t+klmUlbd+wTH5vM6xHNT0ylnOql3rZPMaUWM+sPPgHad0GxloIngcDCm0a56TQvtyhF
1zhlLwZH1dUlEtHEFF97cN/eRgtgyw7RNvMWqp/hQU1vZRxHKCKGcDHJG6RSTtNsrMZvXpBz01Pk
afKrMUNVyjvYcMIfhcAQ4CaZR0eWF9GikDxlrWMclcazDiE+YncQ1DW8U1t+R5O5vEHEdYLAyF6j
1S9Mx6T/Nxykb730kscI3s4KiNBvOIid7PON9rdumGrPwXjMCE+Mtly5xI9LG5A5hyHbIsHeZw9p
5N6EA78X20nfZfuYHzF6U9uaIbQZLNVB9d3ibaOaQ3TuVNHGeue6YjBNmiUBsC2pRDsYat/Dd+rh
LOiozONdOW8s4Wbvud+bDocBCjAiTV/h42Xn3g8JdZyg69KC3UgwsIkhF84kuEScyPSmY0NBXror
9rzbxc7SDNbvsyXDfXJm9FBXKnL0Z9nz6HPKs5+F7QxvFSec2RcOAeaO8q5sVd98yX2aOR8FoQxs
HwH0pq32UtJX8KzjgQCs9WkqPERfQPYu+ZV65qPfprdUBv0BDwm0txrThGP9JkY62hUnoiXfx3c4
6J88hyuVLrbzeI8LYoXpwbNGzLh6dgDhdj5HirO0jswUkSDJU/iI2a13Bqo6NCwuZXn/2J2lj+Zg
PDEa7d8FuaWbzzjoDkCoPY4J13D2bLxvrNrjU7psYSyw6Af21v5WveKVLbS/3OQ2x3lbnaJT+2vV
NgtyHmxDjn1muKZz3Hqpv7GDPNzEB8/aKXnJDhHMlX2k7XXGOQv8EUQQuzw71n1Qyxfzqj9YT9Ur
ujMOmGRQlBFSWLSbu/Y3pQFSrUMbKO+MJdYzJd2JHYZWCDVi8t3bm17d2JEH7rmzXGsAYekUhVuH
e153RJ7vRJChlSU79F3RPI35/FmcjN5pla0l+UzvY2k3K1vepzDe8lyq7CrPx0oP1NShSIVAGQ7b
8oG2yoR4ojpSVSq/u+abU4WNrqs/6tf4mYml2ChbcVV9LAqxy9gRDGckO0TF6omTeO2waYNYRZq2
mY8JSAJP2KcGiAQb0qkh4oFP5Z8RzH7AZRe9YYY63Zc53Yv2xSfdlYnp7yfSAI5FtrdcCp9Mx2uU
7DXlG45yKq7R9JB8Thy88sN6mzCimjmIeuDE+8DiPyyM4g74OQeFK136gwTHF5gl0gvrj43mL7ef
IXg8LV78S3lDRElFMD3kH3QgtHflTANk1DbKOQ/WbXNVSDXkPHeNPtmXWAw07cset8hiztVjgnDp
F3bEzinesNYJ24U1CTmdsjllK2N9RCzCPmyCJX6Z65dIcAp3MMfYN/ojoQdbhdXuI/3sLSc7kz69
XOf3MCQWmW6Y0wcaV2xKBATUa28dNuFnFG0y0h0Ur/5uXqrPKjzqr3XymF5EfcBmZ+zSj9vBE5XV
14wemnFI4qIYx2B3XrXdykbxpuyAOPoDzvgNGt1mJ/t9QHk6PCSI/lq/UbfDj7iBlPBaulGDpHMz
fIgneT2FT+UODdzH8HMzlnIKeB4rMpU3WuvyQYlOsle8WLITXqorMs/H+ohUMftCMd/80bbDZ01/
48+yL75U7VokTkdRt/Ky4ysHBcAh/Ik9L7mCvL+Msm8kQb9PvOVTH9zmhVUduWbJb6U3doLTji1m
zy6i7cQrVGD0FvaZhtIXxLAf7igooSI4tkBrcRv6IYKWhhgCJ8Sq75YH4xHvsBFv4/xa/Ggrp1iv
+DGA2mfX1T5kylbyIN9o1ilCiHcZzSBkW1zkT512S65/j6tMcSJv9Oh9NZEGZGxQulfh5OGjB4yP
cxYrHZi8DFp5zhGoSVoKdc9CXtqlmPd8Rd3oDwsF+nsJgfmh1f507a8WUcaF5wRxGwJ8GEQ/nGHK
Mzrx5EpccBg5OaeEvdV7LWiDzKk/GKLyxuk/IW9juTcyyo8NBF1SL5GVP49HRFq/pk+ksKR/rN/N
D1UjQj+c4uGfjohoNhpgwGJPL9l4i+YNe5ZcOopv7deHxS2OhV9wunQnsEwnjLkfbQ3Lx0fBp4wu
kuZx05wSDzXRomz133LAETHxkXhHB/2hgQKE3WGDie6Uf5RB6scIZ7+H2kM1Hz83CPBANW/YKc7C
b05CHGR//hl/xImrUoqc4nl9iB/KX/ZzdO4fCuJKvu0geW2PcOzpnzev87Jdyj8K2AJUzLlD6bWk
MCY2Sbudf1kCZO4W1JKhbMgZRyXVEbNdaM4oIhVNxYIiWtV5nefGiPYrVWxsWPJhinLlMN+/oWAS
GIte8mV47V6fs9uSnKYc7jf3f3f/2/3HrAmlaZkBh4urQTnYc4LI6f5tcKj1HjdlHvUoH9L42skK
JO9ZQ4wmb5KYdaZvOt0Vcqt6qDU0iqoIBGFtAleGRYIxAlRTigd05oNdIKQsyGNzDSu7JnYMWU3w
2JBikoVdyNtRYgdZLdmGONXooH4Zc6sj8PfBAEM9mCSfI8HaRJKFnRqqVWfdLC6tTDPKNuhzhnHk
9Wn/gU0sBpPUTU8KwuOkKPNto9Jhl20O3D2DLbcJyZPM1fap6zThVqH4UlELc6yuiXEgHCVvIwDH
ueoC24HNkrc0zdWw2GrJHL8CMDMaoM9SailboMOg3vHBbhGbIjRA9ORWMKMfG05HQsOJZ6di084g
2vKZEBpI/Ad9YF+vs5VGipgOcZpfpZBkhlEmWyXutA8TszzkYcQJA9lP5UInU5fSRxTOe1FbB4vN
Ccn8YYQpq6x5z/mRE/JUhdc8CT/JtOj2vQotoJopn1PWv241tjgmYCGjW7CqAB8q9fWlr+XcVXXs
wYtaZN6SFFQiC4eKoteDaLJf4oKo9BTZZgxxqrOiY1jP72ZWqsE4SczJevMSpl/50CK2sZUfvc4p
y0YBqHlJU7CkN6mD5KeDnn8AUOUAkBGGuYoaTPXaE1UVzo9rdC3K0ngvhvdOqmRSrvoP0Lu0lyc3
ScPnxvhD4AL0vyh/HWNQclOTYXxp7T8ASQ9Kh2CTvCE6JyWPAcGqh2TWm1QhUfqub1Ivxl0/a8mm
keM/a2jQRqIaEtC+42mMdyG9vGZYXxpwQbshlQhHkkAHRuaNPRhNb8vtP1NVqlPUj6odFnSgcwMK
tO2ZSE51xZacJMW92cXqTq5pT0O68FeAV06G55+UzcOwviFyfhvL+IRU3Btt5LTtWL31pFL+7WeL
1PgjiyBTahbrifqdflpi4Seac3HOTblBRCo/97L+Xs4Z/gMPJb6kc7wndIPDtf3KqhxvBhHxCG4h
K91bZUx7yPmpW5ccUbWqfykbqJGlDlPAmuzvdnaVJPzWTY7GyYhTpuLAXBdMEEhhsPUPO1feyano
KEEZYPXEAGR4IioIoBEWGEeNGaGkTULkVJ77SltEwSPwQmTbCxUdsii/UhKKmU7eqI11tRfrVUon
yiar5Twtf2T19J3O7DSCjOTFph8EKQ7ZJ7KxgeCddDQQ+b00N01SqrGk5DLVctzllRsnSNsKbfEQ
n/Q7kTQmOKbE3I8KG4AVPQ+zHvuW5o/UpWkP1UyRZNIshm3XERMhJc8hyU+GrpR0n4CDi74P1FzL
oNhj3chVGzX3SN9CAmMVdA0dvYQJIkukpy1kVrTh4JJVn7rRUJ+FXV6TqX1RmuXWJluImOkUtCD4
UKcOZbo8vRQ6aDcUHVQyFg4itWNsEfZEgVWMk2Ur2tUEN0SmtCWH8arx0nJ1quWuJZD7arQoysds
eEsrqIphziyGNbw42s2rRqQ4dX/6YfU246uU1Cyd5Kg0Es/jlB5Xs3NDVc/Qksp+RXDDZh6R8BmS
tLhptqjnmjmgJFfj1rSx9uVEmWb2Gm0Q3j+hBKelkNtfTU7lWsXFyzywI428V/jC2s0yE4OlZw10
3d7v+xAXBejccXgjPO6eRA3BME9ToAwM1mR9RlCzF536Gc8cZOv+QzYPkVKfmGvsagtPhOi7H3tm
cF90rozA25LKhwoOxCYqogfnsYJhVDTNk2yL01yj7p5MJm29PAVF2/6uSTFa5K8oKthOywELWAJO
XuoI0ALE95FJ2y5j+tsa8UN+U1wxS+DAQ4mzfHyZC9HBRsPBvsN7VI70STVJPfaAQTetdKtVxQRi
FzpsliZXGV6jkWMu1xrGvnM1oI62n6IWklQ+LGysWb0DdRn05rgP0xYOSktQVSrnj/PYfxAq3OBt
gDcQqRHFMmciItKvlSR9zSOJYbF2jsbygHTiPM12xLsxdDD6KCUV0PMSUu+8i02gsdw1yTzYhXg0
YNtjNMEhwjkqt9zKLl6qeeJLNW21dhoPiLxfZGt2u2p0ss5QfAxPOaPVie7vqPodq9nGFBntjlE7
KSsJAuNi+oifBxANe8MoV9CDyQEbjBSksnLFVXRrONcv05xTRJv906zRwQ0n6zpwnTqLzgKv2r6m
d5krhpy6iVlrpFNWjZbhd2G9zRrNDZN6p2mSn9Q0+rQcyEOilAERAYdRJE8Sz/81oXmeVdl7ZmUx
OzFxHC0bmVKS+FLCxwr0UUZdTvyKqhW0kFONdarVk21cU9hbXUuBeUMUJtJQBWlK3bESEiJHabLF
izqekWLvx1RYgE+JC4tU240hNm015jrOLZVBT1RKQ3P50jMbjzwpLE5VZwE0i11RiUBP+8ETkiJt
4oEkorIi/3Gd3QnFBvF4JKmtaud0Mu+/Ga5bLaYuI77CdMJUuix6XwRGrSOChOoKTrbaNpWFvn1S
/0zNSBs375zpecQ45wnk382SUjrg1upUrCXDGHsrFBGY309dIehrQksLB7HLrYQeRGtcJwCbRK4N
QUJkYMZLhKfAOtZmKLl1xGbD0CrPkyfQKHxiOuNNnWtsZVnxkYXyy9TGi28QstUn9pslg+NSx/lm
iQvJcuqIq47Mdx3pqtOlkmsoSGP1AguIouP3GfJpWynqOwpkQqJMegLi1rM21PxxlaRDXK9PLdFV
nHQxghPTwse40KdnUVYGiXfKb8C6kPPSzqePTyYKQtTtGPaPURdUufVtqonsdrg6o2L5k1ZRvIUR
JYgEMJ0KEu8w019TJE5siR7fyN6k/M18qq3ml9XgclJMLom4QwLdz53pZlulyBpHHUsFYrjyEspD
hAeJQkFHHVGFw+jkafKUFeQVMaC5RXigCmoYZWcjEohb/mFouzMTjWWirxH11oOqcTJgYXsAw7xs
Bpuwz65yehgpflKO51HbSgIzpRoPmk90nr7vigny6e1vf7k759USxGD3oib7TpgMeYrWGFDj4n+8
uX9NtIvtJXL0eTeU32+akU8AC5biFTWntlBRP+Sh0vadWf4iXawj8Mcmd0iWwE3cJOBGPNLhiyOK
UoVCNkUi7M5YLRBV0dPMqdxu6vAxiqpAp+tk5Ah+syb/j5thqa9SoVnb1ZbMfQcPBzK9UVl7NdYg
zd5uYKEr+/7DVmYL39PfbxLkBTomrOA/VZF3kaSBbnZrGfJjMQm6YppRXuRwUv1xMLJj3mT63/Bp
/18k+N+KBKEv/oMmzP3qv/5DCXj6Kn7+1/88/Uz/46Nqs/+qD7z/0N/1geQhGHCakAj870SEv2sE
7X+zTFmXTR0NGX8QffAPGkEZWZkhy2gHNWFaCMv+HpYg/5tu25phK7BbDFsD3/n/EJig3FQK/0XB
BjVCtwyYqLKBjO6v4gllNJtRxvcfLHKUn0dMoI8hBuUUSdKEHN5dlRBDmK1j6Qj/AICLdmvO0fsf
XrT/k4rvhor466MQ9o0HSHgEcsqbxOMftBQj28DaCPa3MrcbUoXCp9EuHtZxUU4Gtr0tGJOH1rQc
zmeUG4rkRQZe1LmO/djgKKOrbbv51w9J/SdOjkFKha6qlmzpqk2R/l8fUitpICIFrXp1qUcSrSSI
WsOqOHlu/S56IC35POyaqut9TYu+dQNr/4AWD5UHuVMgx8LSsryhnAYfByuCN1KSNtYtMq0E+okN
FBZSrTUgt6o+8m62c7eyWnC/3W5SlXAvRfPLv35Gd6bvX15kmK5cbYILSih/5bo2wNxmFPRlINur
fNCsWQHkzLi9ThhG1eBk1bBN/C6b1Z1S64SbIufWHLPqa5J1y2fyDNRzqYq3UJVt7795bFzqf70A
2AmFpt989DAa/yKk7Dsi2yZhFQHG3sdwYqpGRFZQyebiRzLO+86mf7loDR3PAX24wWhenZogN+k1
aWG2ngvpHMms8//N4/qnCxOhrizzqOCtgCz+q4QplSVUBpyUcNsGTV+C0ZSZHxgSWotaKY83UjQh
fra3Umb4ajS91gXNdJxjEECMVXko6Gb+64dk/JPciYX9pnNCQMx7+U+YSYoneY3CedxpqTJtDQgA
B7NlLkUpj1YnaZ/y8CFTtejKOTZ9LhXTWzDcOqtOsl/RgrOQaU6ciAOmbhklIgTmXN8vWkRLbZXf
2olhFE65h1XLEUpwqnaMTH82l1k5mqO81wcdWmCKaHU+p8IwAuL9DGZBt0zjWYJrOWsY7ZbvasCC
LiR7JkauOuqgrqBXdIGhVR9xz1xjJqZrk6cKrqXupE2wTSoyFU7YBcSy/ElgVHlybBJoYKE8snRm
Xz3paZ5pE9S64icFaTgxc1XF879+eVX9nz8n1o2sx3KNvAuy31+5NmVhiygt+mGHr39jqgWxLlF4
aErbRliotYATKZayRoyXmXhADu/rYSWN8pLG5UUaGG6YPYF5JbOAgz22P21h0cBseIGW4Te50Dz3
pQkPWbiGhzi0ftUNxuYkWYjyHmn/A41zTUuqP8KeXmXMHC6f1c6Ha2btJ1W/ZEJ9tpd4DOLOkk9w
oeTT/W+ZHUX73hwuo02XXIvhB3SSEp/vN3lsn5RQVMGEgcWjP3ggHeeRt3E45f0877reUJ5HvVyu
cXim9TFcyMZRfJkg9+e1Qw/QtfHZBnizwQoi3bKkV7eLXFOtsKH25L9hYWsdhcaMg0mn2WJ9QA9O
qo6uE4zR22R0qMb3Mqgcm2YleoAWIiNgG/KADc4loDnd8uHGWa62GSjb7ob7Y4R6zBTGUCZSr1Pf
wH1TOL4XakQnLH1bpG7YsbV1tBLWhVjlUTlRfatgHk7EBl2E0Ui44FvhKmppH6cY0K5+O3QRQMFh
vKqVgI0dSTAwObr4SwVu/iYdipPuOCTMbft12UuxPkNoqSGTD9ou68IvCiMgIZXY398jEy+L08Sa
Qr3Y9VtNkz+QqiCdaTCBzZNhHAkLC7RCOnE+RC8q5dbNZBbYjZVcrR6XK02aY6xkyTWURurn1I43
ldwAkqgaX5Ia5WkorZCVWYCzmHUAZ2Z0NGqeYyPK5QT9fqIxuczwEpajaqX0pSK9udpmkgaV1so+
zYTPpI9KsjCUm6ifWPPBIoYPzMF+sRjfawu7fCpFhSdGnaJgztOjfrvpFlnbhVN8ylYr3NpKH2Nr
VlhmxfyYTmW5lwwlOc9yDElvREK1DnRtIEbmzOWJrGBAIl9CWjpJkiZBswxfc9ssl4HI8cvYF6SZ
ZId16BlUKbP2qMuNdE4Qrdzvabr8XK4zL7JSMXQnUsGsO3tv5GswRLZ1vt8QhZgEtsjp6N2+ttql
+Ns3MoPn0Y/kuN6/hg9wslihaLar1Xq8/2OInvTWBfh0u0AkUljyiJW+i67EuEXXnIzIgA8JHY7b
3aVhMW21eH7QW9O/f0mHywC2Sdl3pPY4dF1iX1Wz6IleJsGmGWpdFhjp8X4jA3CKMZ0DweNfQHEc
drkgI0WjCuo083K/oQ1d7hd9+XW/V7RiPfH03JmD437pRqg85OU83W/mMfwQq1VuFxbtTTf0M7B8
Gg/kWjAKJipvv85NfbFzUKjGbPdPEYI1NtiVtAVsRYNmvyqJbMF/ou2vkWuiVNFrTerijv7dshuM
tGfE2w1ePyCIke1OQrlNswNeKBq8sCGctCG12Pw9JVny0i9cxDK2Ap3weBSv6HqqAk2STlcGAgwD
BHX+lVeDfSFbOrfUT1FozNlAVQ3LK80Rwg0QccdYwkw8Z8wExt3SY0hgTuGmMM8xpKfBzOcCfjCt
y2HKAxpMEEOn3vCSwjgObWhvEqtt/YwsdC+yVrJYBQoK+DyLnxfZuo0mGUcDMshArpM/Kkvb1q4n
nZULMUhO0xmMnmBS7a8Vzd+Y2q5o5/Aa58VnrxHbqLP47goGw6TciVMFuMCVQuZ78lj4cp0y31jU
l7Q3F6IpuuZixjQ8ZbIUZtDbE3gCBBZEchD9UCLytWMvFNFDHgMOv7+aCBKlYEX0ohgqGqRMJ4Uo
fTOGob/IvUn7mG73fX1ac6E9L1zLbfcuZKm+slOd8BWTnZ7YDPPETNDWlPiDcZhxrPgARMvb0d2E
djXX+2maP/VOX8m06k6DOoFlmlgkTIgt+kpDt6sngqPTdRcLlI2KFjvAt8qPKF+fTDSHxyTqbJzq
WuVnjMjkebI92U6kfUPjF0mfY8dKceD9u4gomQ59ZF2smlZehjOfLjToUxFbOyMHKyspwhk4Cvtl
SPKHLpha8tQWyFwYTmbAIQhYiMBsJeVblkpE7KhJ6zQt0JUOFexEjRlT0sdk7yqHPhbTUY88TSnX
kzKMh7JKJaLBd3SodHeiA0/3O892WlKf1oFRLwVZTuZAmYBAijH6L/grxrekWjiuzOEzGdUMMWTj
KYsWVx9iRp69Ir1GQyTceK58exgtdzGi9SKaa0uuzD7sEsSh9Vzz3xOlLfeCjXVcD2JusyBe6MjN
OHzPciHMvY3yNKEBHMExC7KmAO0mIDTWt5b2Ulf2Mb6dA4hFn3t82WakG/u1Q52IUzqtfsmC5CkZ
vthOG+qHJlerk2z/xJNGMzVEzIBMPoCq/ZMwTHIa2dQCqbfPyqDBgluAjpcmtN0oTyekSNpMQs+q
HEpLZzsWaGlWlVBmuZ/bS4sLHrGQqX/BTqk/Eit+xVZs7LUO2suENNUd8gKUraJpgT5EeMqJyDTb
2hcdMx+RjFkgN6R3jIzBk5uUrKIF1xXwg80LqUOVjwqjrusqaGzgKT1xbK6VpilaxhCy5+3BS33U
XevBfqiiWtrLzY2QvzD06odEfrCLzF+jgrRlfCcjiRCM45IA4jK7v9DjnZGkH028SA897X+dZ0ak
fX/W0xgZlZ4UhzmehWunAzhszqjNgNfJ1ppzDtBmN3dMQKQ6qEZyf8f5pzUIM5gqMZFr1f6pV/pa
U8QGnhq1U6xNQH44hi7Ghbu80rQ9mxqAWN48x1YgPZlRCVU0syy361gKh3B+U8dac+KFp5Ah4nUz
qZLQ43A13X5HH4aIZNHp+lxBARFFxsZeU7h+pBFBEKbZNWWGN0dkVrOu2EBizCPQCnDmtXQkeyB3
19YgRrSzPC4TsgF6epnmT64nKxlMnpqQ+Kv2tvDbVEfdAMR7qAd1Eyci9RN6FZsRKSMs6/x5mFwc
8oL8q7ZBs+FaVaw9t4OyEagQCmYdbyFMF9By9rM64J9PVsCDU1M5PBzmUER/0HoU6cuwyH9aRjeb
cLHSx3ZAf9ct2tc4Siveo6LeKlJfObE0IqLpx/qQJ/w/DBCYaQ9oKpU+PZmdxdkUWuBOioGZ3e8O
YPlQtPGO0988xD171GgwlhmKIsgkG5juZD6IMp4OtWmMm3wxoTwVqGssNSvelTi8SFM6/mhWF9B7
eBBtzfQSCbnTFqV5IPHSONjdMHgMAFAqKnxA+EoyTeZBqCiJm5WmLiBixq3379T3nxrqQzvaTKBv
w+C8TCCaDVHtDjLynrLocYlZC/k2gN49vVW5K4W/bUXNt9NUy1viZj5bCrLDSMz78f63+40Vj7EL
ggVJOUQlSNqyLh3sFO2mOoL7uv1El2R7GISSP6/2H6tXyXOXl5NkpBpIGlP92w2UWIW0gCZ0E7Tq
aABhFcCnTxHuV/lZrMmHDLmXeddJoaS76s1lzk3zIgFmYWBeP8q5auwaOjiQEJf68f61wZhbJ2pH
4Xe1JnGUlhAALnH7SAilw8ywudzv0V4FjiNoZt7vRjujjPotl3HpNmaReKYwao9LRrtmJnqhJSOb
PstRzcdEU8HN7NOg0XBEzcAQT/LUHwc5ap4AMADl1R4tRUT7ammKnQ6VyGlbBQqinb0QdogSuheB
0CfL1WXE/nIUK499psiPMXnkescDDHtb31aTTAVGLgCtKXCBw+3jI6DA1daOcqM6CtZfVKAGnV1J
OiudLe+XVZb3IJiQEN7vWzVCIIt+vCsY5KQUSAdpEcJRC3jDHU20vS5Fj9ogWn/VZnGomfTtRw52
wzSv+/tNlUNd/of78YKtQ2Cu8FReZ7bMxfxJlG7xTGVnWg1oqca45vUwgpXoydUUM1oIhOlFUdsu
P5EerDgidrtrTmq4YixMjHdJRjCRW3KJ9XMKAECmoDVF7hF5igY8f28r8xsqZUTwYLuTbWxiRZEc
x4ok83WJrvKUnuw1OZGx4Ji9+swJb5cqA9A/Huqi6PzuAqfMpOXHnl0A+5e0IWj0s8ljxLtq+iah
UldWGSRSmjzDh6IrAE6TM9oYglKCJpPwEbR/Gav+Za0WbP3xRSqx/I0rklNzdc2SGKLoOa7xbo59
WoFclKgABVq5iXGG0k27VO+vHE7e4tsOk+uTv1TbTkYMVjc7VUmDKA/UNr5kpRn6PaM6WcUeqZRI
yQj6I6NmiY6SvgST1bldM+7lTv6qYIkXU+iFDIQ268ypBvafEqRaqDrGOO9GXUc1PErKLjf5TDUK
+DMZ7ZUshh9dsgbQ2dnXnKHExJBCyInZByXx2BDreX9Jv6LV5ixjjmZYKffWbbm83xSGa7axuVNS
+6dbeZ7p0PmNZgaK6GUPa/nVZH616RFGqxU2S6mshSPwpU4j+t5Mk5hmpVgxTelR0iCFVs1I+npF
iJCNyq+5tXcKuAeZeCUqS/JCUyD/6GaEjYglQKKgwK0guDE5j53kNjGpCuVPyEtdTyFSYuxSrqRw
EOiz5iv70NK6uNQ3a1bUzMX21kEu67X/zcJxZhmKETypKPckBl/lZDU7raj+TMasM/Az1K0y28Zr
ZGrEURhBlfQ2HVATmB9YUeqrWHsx7RqpRZLvk5oSWEdi4sQ2U3y1wZ/R1NY1Q1WFqK39TMqqfuMt
eSD+7rVtIEAlbfNlDmgMcrNZ/W4CdmeOZOMlMXo+gzXk7i/RLWVmHKfRMLO0+CTlttsnanvqmRtv
u156HVl+SkKLDuly42vUbF8irCFfKBo6uzaMd30uoWqRH+31NNRJ5XdWXV+ThI4hMIxiyCBVmpZF
UW4yrCG6s67C4jjmNSKA4UVWevkoT1oNDrZHZlY2vIgq8W9N3x7qVs9dI2+bm1JjDGyj/yxpHG0m
0e0rdY63rHusX4Z81nLFusQ0qEvJvIgUaAaz/1pG/rdGlg4/nzj5VC4/G85SPpO66y2Idg3VBK0q
YkrwsMomH20g/NPYe/nzRFMZKC9JEnSp8dQ2yRNxIK60huLIuzY6qUE/CeaR5YmMlnKKaMMaVvOg
Z3z6A2vOGlSEuFbv+0YkqS/2YmgBB4VjRdTYLSc93uZ6ehXmFL5UabklXQ+msTYhllanjbyg5BFx
WzlrkpauMmVXRcLkDDQPOBAh5Eq9OokKpbTrwtAZuKYRQTXnsepOmcTgO075fgbxcZPIYUhZ1Oym
rlGdsAwBiSbB1Ge4Zat1cqN61rA3MQg0C6vahtb6QgAH9BBa16tz/2unJDWIlxAxd19/Ms/Fays/
V6W9lbJJx3fTCUxTRa7u45qasrZ0jMXfYs2/UxoUCBBD9EojqUj7+/2SaSc0xDgADgcI6kaDuiOh
7nfvN7qyopb7v347vAFb/vNfTxYmSXB2T0ItfaXGhTmaH1YGja7DgwhCV9K3xVJmu7Ep7F17+we3
yeVaIeZqjGXT2i3MwBvE6X4zpgg+l98xNbiG5IzD2jHMh+Tf2Tuv5ciRbMt+Edrg0HhlaE3NzHyB
MclMaK3c8fWzgKzb7K4e62vzPi8wRCQrKgTg4py91z5kGm5q59ZXdGv6eHgoSNREBOAdi9wkG63K
31WOzEkzW4/LvteOGBjbHAw0e11v46az78CJxm0YkuQR1HlxRzR2vhVj+ODuGjrQT7E7vDS6h0Jp
BhkthC8ZkmDUoBRTYlqbgChG96lvaKv4g/emy7x89rGQPU/ubJRGYDaMB60krGE0PXUlNLJe2y7q
0LQEPotwi68mA30V6fuwQ+w7tj2VDFUcJivQqGh3OQ4KqeVHD5UNxVXrSTJwVVV69Mvpkx/bZcjW
7ANxHSjcjYTAZ0IhSdwh6ZncgF3mOxUbRVSBE7Nx05bsAJW1HkqPsm5GZaXPwvJmJ+3FK0sctj0c
I67ktaYXPn8FI8GUEQ6wdmN4U/rNyfPmFBQUG4K4JdiEftk5zYqrKUrttUIduXVZIxyyLhwefHgQ
c/uh+5ApKq+pw07RWU+uG5U7bgGiF6OoeC2L4FQUifbe4wRcWZ4YoAZG2ZUpmo2SP2wqFuNA5ajx
9Bj9XWl9H8LowQli91cejesBOafBGHPLAhMGfIh2p9HVvrZa52de4BqwOpQNrk4hPeujR1/S0AEY
G2OfF+hwwjYFdjgiIc2tad8H2MOngqFDmZnJ3EL4n09hsqxG9JGk0lDiaI9t0RIBirHzGtaowykm
iLXm9NrZbbRwrVpM1mz2f5t1u2dD6RycGhBJ6Ba3VAzimWIbHCn0YVlO9pXNDk6ZZfTUdAFmVR6h
gcCulHfutTNMgftowo5q9bh3VfEcsUdYJT274LBB0J54Q7mz4IU6gUqAipbagwwvKrGxAjfA4HUN
UIDXqoP9o5Bdd8WmIqREk2XrxqkyMY26Pv62MZHatqkG9zI2OWjxIj4jKstoD5IxoVvlgTHzMoik
fzBy5z3FcIH4NgeRreR9osMpMCImKSG9u9rpH/uWybgNdSKpvQknRz7srcBC6UVxFUtVVGwdnQZu
00TbpAmRAMm4vSCSG9cJybSOhr4bwmSz73v1PYo6luhjM1OPKEv5trmjbeQ8Cv29Nq0KDw7o2WEO
m6vgIkdVZOL4nGyqGNW2NxDnBbKh6xlOr7Gqi72hxid+LXVwCuT/cTpM28LoMT6SGHPnu72xS0N9
It46emCIyLAton9NqQ63JX8fmc2b37kZtnmU6MSSn4asO1PmtGFWfHf7/FaAm3qIJrRChRN2Fw2/
TW4xpTVjS/aU+q788eoXvn4OUxyEfL1HFRffABSMp8FxTomRzPmt41tYaCXC/ODsRlAUzNHBIy5p
2UDsvfkQ0CHeonSbwvZG5jmXFh0bAk3j7VTW0amL+8cJatzGsz9rE267jQVlDDUW20A2N61ZzDt1
gk3QzrI+zknmMN2d49i4bsfuQx9VdJo0O163gyz3w74kyn5HyCSByTWu6gyv70abLmPt2TsTj/la
ryqAPnPloM1zZx2QJ4i7AmGkOxaHIUWdF3u12KuUr4P8hmuce+735gUJZm4H3U0ZQ3NUQ/oUSiO+
JqoyTmkn1k5t6RtyhW0UqlV5CbSV8NlF+obh7LVZPqbYeEYU9Ma+13dTy/afUnH1xmjPKlxP8Bol
xY9uOsAKPvamFV8djV4ziyTc6Tp0xFscshIiPoso75bh0Gw67Zw0Gi9qhPejTTFANtPFswLsdy2m
OsEmBJsd4Fln4vtjYeucotLrT33pI7PzsQQaTQDHpjBfXLgoDDz8R1VnYwrpieYq9cQ4ySD5NZiZ
A8g+wWzfP8IR779BKP3Wd8ywbjEVuwgsPZVsS+yqZoqwOaBTi+jPq5zWmEgcc1e6A3YzXR+uDorq
Cnt9kHTWGewsfCNZvloiic5gE+qVKgx/k1UBwO68DbkItfTB4yXWsScnJHlJQFDErp9CzN3uPmb/
f2q7CD+or5xTyZox6CgcpYPR7djh1hcbw/xRgicr7FJc4sh51XOr3zNWvdKq0CieE11ArjBLC9HQ
8DW8lvqSwdVneFjofTUCEuhG8E8+wytNk5TCSSAwP8+bUyz5eL0ByVuxOi+oWpNVxTk2GJGbsMdg
xYqw0rHtEPkF3Myh2VzF4hnKI97DRIvXWn2ikpqTxYVerB2131mAXbPtg+rZJBHxpqXpjjBk3Vb2
c6s1zvNE0R+M9vdYH7qLm4nmbPfB3h2R6JMSFRz5RibqdPFzpyr7Cj+Rfp7XkbBA4eyUZ1Z+isKM
YGcofKta1MVJagYbRNyZWsKSLyJHcA0evZdrYt9/OUmdbfsIRLqjZx4Ii9c8LOkciCRYOW7a5ncO
EzvlVoPTJgunY5xWeFMpWWD6ZsDgDUpIjHQFcNaIrRxCin5uoqyVoYXDIaEu1IxEoOyrvq1hutsS
x500wF8zv0xGEGIEIp7nGtme2CYZjfih6F4MMx73xRgkio42LaaMHKwLwPyJGMVj2rq3pm7aWzcf
lmEn4w5Gh5LuXXmjaclave684urObWpLivZiS7xldrT3SMPCzIaoRymR3qL5zI21X2nJprvoRmc/
ZoLeqE9yd5PxXFBcnHJoz2Bjdx7L2FPjSBL+pjQ7REnOTiGK6LK67EB9HJ9NxjRp6cAQQcUyc4fO
ZexkgvdFv6Rw/Py2yE/+iCsDouGwZ9ybNqYPQkwxNu9AnbxHrhmyQ879p55816Jr9O+BCUUjGp0C
l62471s2/nnew9/hi8RDVhc7qyk1eKnZj1EY0Tod/VNV2MXcNXdf/QIibl4diasJn5tOULCT6hTa
vbGOEhd5oul94BBpdioox40WGaeIvtF3qYfryYEC2LAkvYoKQLIlieCo7WFjUUA5Diz1hFuKn0DY
t1Oc0z1gEVp4VP/yXmvobRpUdnbETgCwr1v/OSn8nQ/7aWTtepYZ9YQhN45CNPWt1ssbJXqi4IwK
UbP+yw57FIdFuQ/8Vj1XlKcpLTzHlRnvx47i0nI9LFcGmJWdxZJjU3UI/A2gLYcsdLjPw5grvk1f
rKbGlkg5Y9cWVvOAwHmtIoOkXlPhfKFURh/qxxDhDBfMG2RAFs05TMQzDXB9nRX0cwb2blsqW2z7
aHfirW0fMRVZh7qkUpFIAs2GppSvhW//0tqJp7IM9x5Zdi9Tz6q1mIwJlwODMHh0j3GONZ0tu48R
Wcolb1p9p4a6BERBZ7NJDG3Xa659mVr3NSrL7rnQfesC3vY1rR8c+v9PTmrHz36Dgy4qYgFM1kcm
4MMPtcYK1CLiDaav+bAwQZezScGoXR5GykJmFcc+c13HlBAn/sG0fDAdCyJzOZBu9iaaNFtLJBjW
zLvs3YrOvT5jM/+cAvTVD6O6UGwGfTkf7Hmn5s/bruVM72Nmj7KjAM4tj/sQbegRahC0BhqhAY7m
5RzzBY7nxkxsJArZ4W9pSH9Sjpz6JLpaP7QgbtMurzfJpHiBccZBdjMYcjkTaTkT35y3xLUBQAwz
gvnPqZxP4xlHTDYlzcjWxj4x03MFk9Zxmg/Lw6+D7UbwtFN6tfHMzF1eYHnBPy/1z+caWPmTS0he
zgYMRnSazbSj8XX5s3R5bnmBdIHwLm/hby+YVoizEDO+1tRIj6Uz8kNoCWDgP4/nJ8OZuzwiylgX
g9mu4JkXqwUlSu/uL+Lo18Mg0liowpVanvp6fvn6//bc18OvvzNp86QQzP7nlbPQzqgdEEu5vEL0
9SsujzWt4peI2/DIxU/QSxBbx8BqrGM2RmBuOrI/aorOu3H0fEqHT8sfAADyDaJdpSur9rSgXpfX
daeCq2M5DWYU7PIvy5kgEn6jJ93H11PL83+IsfPftr7X7hTWtK+XW/7iz2uWksIf0SbOetEJL6rk
RTu8nC2H5R/6mB14lvbWKq6efJqfBwA4VHAHJ9uAlW2OGUaTI+sisnPM7LD8zNFyuX39rPjkhvmm
Wu4kwgzgAM+HYT5YjsIJPMURrNxRHuuZfm5Qnqeox8Ovw/JcHk3sDDWq5mkXVLh38nKzfJAvvbZy
GwzFaSORi3jFC84npE7oBdDOF3foXAjhQ9dE7JaZNlvXwaOkYsp9vq42Xu7uwHSi2PKeNSJZ7mg3
75K8kEzRzhbTzGceg6gsikfyKbL1KDeKVv4dpXPtbgrFHFu8Y4FmnDybLb5IgRCww7ujdfiSxcYt
NxJva6j00/PZ79AIf3FK/od5N3cW3ZSabPnmKfMwFC3ZDPgud61pXiwuN8y/CPVCwo6ogr4atX3r
CNE6h1a4xWdBsTkOzgH+zKPLG7yD2qDan9Ti6JXTGAUbcUirgF+GF0STcde2ndp0AdV/Re6OQ+UO
DnWOqCXF0uyYl8Cy8Ab2Fzm3V/suv2udhIAVH4xgG6yo1g1dTY+0V2u77d+srLmnYrbrAyiPoVhH
yvuo7LfOwRNfdv6hDdMPRus1TUA+TxjvEs1Dr1WrD6hkd1hU+blpzHrKJx2qsl+M0X3XdBy2ebKS
bvfhdfRZlO9qRE/TLwha8rZyRQcnMtgsMI3H2NkjG5Nb3OMC0oAu99SALmEQ/6jjOmPrkQmCUeSh
RGyR0LmBo39wguA+9ugnhoqlfGEFd24FHALMZQa7iW4OBRnPM7YjBVTg73LWo0xs3USH1MF7yjLg
WSbfXMtODCrqcNDCPqEwpKJtFWX0z33xvXR2hs82y8xZ4lcN4LQheIg7ciWVuSnzFKRVD1OGdQ1R
sRhVJzxJsLxZftEIxJRtmWIXILbBj1z3dKyoShpGfPEb84mQEn8VOF2/QhvxSInqwmdvyVqOURTH
7KvcmG+v8QXA88m4q5zilbvzt+jW3USdNGlpcLPAP1ghF5cQxj6YwBy2ZrSbyCnDDKn/ZAPRcssa
4Jq5tpM168NyTV3+Tm6DrnpTHebzqowxVIyEs3j6GoVksJlsF/t9Lh6Va38GTrDGNVml0COhyAM4
bXQDkHlOpheZDLtGWnsLkddKR7mz1bWaALKoky9G1htbibcOYEJtkBha6OumLsn9CaW/sqLOepZY
WvJRh2XpR6gB8tx+ngrRPtBVh+HItmF5KiR7relH8agXSmMWsv1NW0/fjcCwL7hl3YObpJj8LMoF
U2i4YOmk+6z1hJ6ZQaBv6Ssi6LSDZ4m6+OCzSbwr64Ib1IyhAjg2BvcSaFnAJ2itqniwnGJ6iiLy
SxqYkpoKWPHoXDY+Gj90LeiVTNpoVCba4VlCPr/iYnthohiel0Mnj1K2+hN8jTjglZLa/ARP67PH
glnhWg3Vfj1kKpx+ZXHcH414jO9jU/PuRkzUVUDEFyk+e9fF3hm0GkiayD1Glnkuacx6gz2c6smm
R4AhD8jOo9mZ7qMU8VaRJXuv98ZTXTQfkZ77/JOiVq3M4uZYHYBZXYwHT6Qmo0aD2KYUeF1zfP+5
3+xKq8Xrxs5uIB7+hPD7nfVOuk0oI1L3k8AyC2s8u8lrXiVgVIqx2QQgjAJjfEboAcBpwHErPJ+l
U8WyMCONGUzxxTaUBUAJuaJE17B1CLniTk4AkVRORtmfPK0wEmdLWA/1APlVc0IJAYHrutTeQKRB
MO68s0R3tZ+mOl7nOZQ+nBLVuiFeHbU6fGP04b9UZjyhrIieOsrzUdDlLw7JRVPrP9mRw7iSvuUE
n54DX1WXRBOPi+qmbqhKQg4k4azZDw7/+/+uLBazY+Df9PceqivXtHFzCEf/D07lNBiJH7tmtU+F
l+6JX642XQ45CM3gi4do8UnmBDc1k9ras7hDOl38v7wF4z/cHp4HRt/UhS10GoHm34icfhB1PSkD
1T7XkDsFvXFz8SyttRHXHBPZ98xgfY4goNr65RBdLUyWvpEL2KOYI9vazFHGhdFpFpvqg8hvQBae
O5rLB7ar+nVWgS7VqP/+xRn/IcLnXbu6jnsCHb6F6v3frRi4GTIzKYmUSP3O2WS28A7hEFyFOSF7
LzNrh5UeQNAgDoMDu49tU/odAoqwcIZhxw5ay3+Xm0p4EQ45/bWkmEPxx/6FQMW2GL9YAlONuW9L
csdIZ5mO/8v7/w9zA++fMBfL8XyHj7EIzv/F3aLaBM+McEqGuoKlu6WV67hr+RDEpeAX1w+oMooV
kqdhO2Xut8GJGR6sSwLvAZpaaW3Q9p9H76cNmm8/Od43f66AwOT8zp13n8iq2gH4GFdtHtm7LrGu
Vpf1/58T/wfp/qwqjFzvrPKKddx2TfzR/Zuby7L/uwXs1vxCzP5/+U/+MoAJ4fzDcmb3iOM5lMpn
O8FfBjDkv//AJ8qAoAvH4abkdvwfSLzzD8Ph33zTxIJkUxn5MoCJf/i+b7kuvjDLtRzd/38ygP25
ff5lXCJLeB6TbINpyyQ5xfib0yltKSeNvR8TRfjD0+v2WMxRJU42MQOOaq9gXwZl/xqZdXCcfA90
YJO+eDL+DPWIbVpsgSIQ4Bq/Dn+2K4l5lsyn60ya98u2YTk0ZnoicC/b/dmz2nPEi+wqFwWAdsnC
HnLkfChdll7TLNnqsCjho6gPjhDlpouIsE1QJu0cOVHHZjrEvT6Mm6rNYT6YwykwrY8k04L7us+6
bYfcmTCVjH7YqnYC9x6QYxOOCNHrOn5IvfwQdBaSJ8hxFP4udp82B7afP2MW3lUwaafQGp27WhuL
bS3gbPI6dn5s5t34crZEdDiGfK3GIVzXpXMzyQzZoVG+pgPkSo2wsNXQtp/wMj/02eoJrEJtyqpk
O5k749HypLgbB6h6UBOw1oz2qZoP/kAv2szexzxsTnVA0m9joboJ+TRa8qf08LV7XSoRy+aWjcyz
TLuUn4zdImU5DZA7pcY6DE/p1HbrCTfqHW7T9ZKMvHwGn4F3rybrrku9cEJ3y4fT+b8RbFVlm2Hs
KL6XCAHM5JxEenZSihw6VWJ0w67hHj2qqixujVtsNWtBgzmdK6UkWBqwzIxsnS810wGRODFPMBdG
TVB9hrASd84hDNjPUsIjJ1B0JUDG3mE1Oro0OycTvV5aE10M99XIQ9SpLmO86f/rV/+3X+Lr10G5
Ym00AgBMq9jpBHfuhQ/SBJV0BVCy6I/LQUqLbUpp/9LdUhHDM7bH0EmaXT/nIjnzzbCcfR2kFrWk
p5TQUpW9JZOZtJX5sHygvz2MTaKamimwVgCb2bJpc+zHsl3+czpJ436kloKz3yColPLTJJvquJx9
PRTzc5PbWHsPh/3ySyP4+Kv6tDxcDsvFsJxNCsolUnwYNfNtudyM/1JyWJ5cro4xsb+ZeUyk79xj
X766r8PXc2bk6oc0+VN9CueaULbUpczMK45iPix1qYxNKxIRcG5L/Sed61DLYakeLPd5HjfUytq5
3rRUnlAwQqtccpOWEtW/PKa64KgOTns7TmRWkOcdWT1SuCZ7R57dH7uhhJyqefIuT7vpaHpiOlJY
n47Lw+Vg+AltLwTEVAC/JyLfCxHsqgHxA5IHc+3JOUWA5joC7TkIyKOyNWOJ2DvSsj01Y/DmlXLT
EzlG1CMaBs9Efu8hUxiX6J7lTVmbjvLfEUgIX/T8LsX8lS8H859ny0O/LcXOx5EjXAqEav4PjKA1
dnkSX5ggUIkU4pB2YXlycsEeWtfCDfk4E5+bg87GiTixkU6jJb/FeeMTFRNFR2t64ZulKBFaGSpw
k8MQ+T1dvZpRO7K/VW0XnhrXeia3Ot8ub7Gef+0oxxMhcbet5TygLf9AOSevv0GVqnHs1w6t3zF5
VqqbuKN1hBPTQ+vXxEkiAd/0Q3tNJvmzazRrZWos9/UBiwCVmHmmAwUUfMa+gKpXV2Jb590ac+lT
5unxPkz7V92q92gW4EMX/jugK3s9jfmDv+2RnxzjXD+PeZxti5q/qEk5DNFZIi9O/LtWZZfKgwTh
Sfldkp0jZPoddga1XZmYa2gPBLGjosiM+VKQ8mYSsLwSPb0FRYWoFLmxkn1/jQ3QnWXipVREewet
SNzu8DdAlAxnoKJywjXSnFsaFeesYpnJTRSfgcfckaaR22F+6QEy6EY1nWJbg5lsxQe27xdRyycv
asVqtKEu67nrgzfsCezsmd9sT+5rezxNc7e98oDk0qajLpiqV9lEWDUSrVl7UfGZmhbxj17/oekh
4INKuBvTA4AuQaegWnkIPI2IRX94AbqT7qpE3bTEA+ynxmEby4LMzkzBZdWim2kmJlY/Oz8UqUe9
HgJjRox7Qbd4YwfprrURoiSG1R0VBjitAVU4px6ubNnWOzqv+cpsAxrmMT2UcLyVYQIfBz3ayrSI
vGowDtPLTFaDzeKqJ/AaIIQHChwF1aqxTBNDXE8Ocp7+QrKj70JfPbN1QGnvjM+ZZYIqM7VtV5qz
KrGD56emO+XowxpVNO7LBBJKXfGiBHvddwCfMQgU8mQUqXaVCsSHGX5GKnOuXqZlgMqqnrosIJ6q
k8QOJ/AWS+tHmaD7HScavuaEFt/pwnsFQ4V9JAZEaDWa1uBvctABhkjpkH/AVFqk5GMCd9+2KIiF
c46214uLV9nVOhezXJR10s/MwZkzCd5XbILHMiIwgJ5nvo3eKupPpa9XdxMEsDIa1roef6ZhBC4w
J2sjcrVLT0NfqFqtBubzfSe5gSBffSdjl9TZCcHyUNXioBVzHSbzN0ZKw5U380l7O0E/hgVemBQo
pk9wL/duHtDucS9pxnfq6OWPzm8ReI53gfRxL+RHy+W+TSnJHSMQ7KMZeXsjc/csLsUqSrk7owic
rB0QmJoL+wXDn7ZVZQClIiT0vaheUpB7va2RNgFR1LGwDWcUpMjkrWG5AAPprei1dPyPzEiYTuaS
oafb2nXqNrBbyBZRaHczASOSWONsY9Nc0nvV3/uToW3QGlJ4G8aPsKDqR2shgTEwEw4PqLTfRrS7
60qzvkuHicb1AQDIFxr201pq1u+0ce2HonkmPfZc+VQL3LBLD03qKBgnhXEsZnoT5Kc9VVeYUjbi
jMrbN5oh743Uf+KN3scxNMNWG2vy0dG5zlllufMrUea3qQIh6NT62dQDb2PpBB6HqDPjyLrCpeu2
g0OMJ4HqcMpyXbvkpImiH43JYKh/YxFNwZfp0bbMgLgkAt2RaUYsaY2akob7U9rBLdHQz0m9vsTB
lGzYcTsrmQrgSvJqKpiZPZRKw00fAfeltEK6ZwCZZhvdsi5uThGpJI1LJTG0S3kY0wH0p2gRi6ex
PVOZ7DVDPyg5rxabuoJqOcj2baSfta5ucZmqFfgZSv6WQk3eZjsz7bWLZ5vvtv1jTrM4NUENmCYa
mYq46zscU0y16f3ospTRrbCjJ7pFkPVz6NNs607a+1S026gvvkVhzEp8sqgSkX0rXKTYHgnbdBPZ
P1jBuopGskcr/aTJ1F379OQ2ZBl+FpPfHfgiMophtwpjvV9pzf1EQwNNRuQm9iVz0O1OFdORRq1O
SzHZj6VUlHdD/wghH1EFQFiDGRuJ4LhheOqvzKWkJPf3jYcGUgSxRkfM4IuFtTySg3yX63FJnF7C
NkcfNiCPtsHclcJURTd5CadcHi9nOA5qsFUcRiDirdJYks3bl+XA2vSvwMrlIVNisR3b4lVaFcvv
vEgoURcE0YxoWJN5EbUccA3/dfb1sOylfQjRGuAdwMjdinU9qScTNy8mRpRjaJrik9u73rqiFo5y
laUEkCg6N0MKr83pm11khS+yyOjD6lg66CzT5GPlVYuKgNYs+ggFSXxLyOeSNbscEqqX8ORZBu0p
na/zuQPkWnayNloK0HlkQOY2A+AL80HYQ7qLo/jczJ27Qg3vaUhp1zTyQzwOw255uhExqejGsEe6
DwK3VjjaMFWzx1DHWKedYqOq5/KiZUtZ/pOSZbvBkwu9GZGtfYA20IsRd9k/D928KjfmjBG2dZcv
1euim82rwlv5DrKlECLe0ZzX051lQ79cHpMKoLZp7t68WdGbk+POh51Pl7jVZA5FXB6iB8mPwdaa
F/Vj2sWQjudTxi7Sk3UWhv24y2Q5XVWrn2gDiieYBq9Blg57ZhFowugJLuFQXyYrt56tMFglpnev
5SUX92yfTtz4s49A6dVj6Z5U25dbryL1MugSefXmA0W6X1NGQTTDj3vUUFRsRMP+aIp6f1xng9B2
UaAjc2f5JBwyiVWFRBFZUh67NhH3XCJRjH1cjblzEwOhRAXrhSJy3vvSss/1EBxxn4bXwq/Ymuaz
vFXLsFg7I+a3xniXbLmws5ePZ6aG6kmbXV1a84YXK3x2AEKAmI9xJgihAakq7BesGyBjkbDj//it
soDYcwHhAds8SffzflE3DWtj2SDqiQpqbhGWwdvooI+ROglOTYJfVWXoBSKGTAfKGXdlOTnreBbG
YdKUF8NXDzJrLxShr/wQ/r7M7OTeEr/MtkmvFnwkEm/IjqictVkk1LaZ4mk/Ovk2b9Fxtz7817qK
1S2ZEB1TeV8NqSBorZTyAWM/9EVZX4YxZ//PBUPWk9atqpoGT+/C5den/IQ/vjkgsCX3wGquvpot
tCVmwSqGVB7JOLm0TuRt9bH5hdDrFPrEabirrp464mHIh5PKum9jrzyZJI8TeMZOJm956zYaGMtn
CA59ZNys71dVq08IwcpDO3j6s3LB29iZYRycsv0EIpFtEyMt4cQEW22IQBHXlG5VPHCXC3U/+u43
SET3US/FQeFT0WAQPCQyggSWyvfGD39ohTLvO1UPIEDwpbmFdoE3EmBstT7jbsqo/ePRUeyxHkwd
2j/wEOrswbRj+XAdRJGdCntgPYfwSu9KrBIOia0mQD1BoA0jm1etelPUN2w6jhvfSFU826q3rug9
Tnqfqr0l84+O2MKN8qGgRh7wbMPLwhVYOfmQ1sgXUUZSTck37JrV2ZXGEQ8OHb6iI6y7EeLQZN+U
l7A9wfVFC1jSXusthGmg5dZRm7To/4gr8JIWLTnBRbuZooEyh3cTs4IvGGZ25KqYAN2COVrPLwkt
L4/0KFEU1Mkb4oRgjfj07NxVWho8WKH+WFOl2fOyxaYO4TajTeDKbNxdURIzwO+2EakE6h0DBo6D
4OwFYFBUbh1d0T6keKXPTeGO5+WMLQq4aBz7a8dpCtKwbSDfLFPZ94B9HpW/Z9d30dC2rVX2OCRk
CRA6m5wGnxqQViYgNgZL4Hgb6FTF/cVPaEcKh3zTOVA4GYeNXhOLYDj+0cpr5ylNUV8LBPFvdQqM
vCs/Mg/ZDopWYMJhcuv9G11D/aKL4SWSgU5f7XvfcX+VZbSth5y6vlMSVVCg1Cyan9BnMPs7TbdF
TovR0cANO6Ltp+fTsyabrc4tMVA3r4rSa0bLGq7USnZwU6IO8Gg1hUctq0kjaXiJLCk/R4F1FatE
SB9klTfdsM3CBmezZe8SAFB3UVPTguq6dySC5tnvkfb5fTPHo0A/z7Og2lDrIOW61D77CtRKP3f+
9MJ5TTFH7m0reeo7v7mKyC4PvSWel4G2ndrHEB0wLV57vGJKZnuv0p2ctZBdgXOrzNURpzgXQk9k
SueJeysewwt85S3yovw+MvUrs9H3NhDNsfDkgwvf6hKXXIHoye/6yiY1pMvHjYLWxzot1e5UJqut
66JYzfPsIJQBvWKkrd5kFxX6ct05ECyDrHN3tFNw9Sbwp9blaBwNL4If7rV0R2f/pcEYyRXzLQUy
yBKzu8StIW5x6otdkg7mmqoxAVK5BtscMfLaj8ZmXRnNTU5j/zhXUyWC/MT96Jxx17XOhnuq3ccO
ZP+xjOdruNyFxU8LkSu3w7APERkepfjJEmPcp4Uq93Ti70BcY5XAMbYukDtuC0CBUovlrqjLvZ+5
vxKW7S8Wq/u+ZhcZaZpzEXAwqrzeq0K9Jy7BKoHDreQMSmLFhHHaVUbwkl5yn+S72MmuQ1raDyyv
ByjGKaGGYxeQQS7LlWf4v9sJiV7h4HBuvIisJMd2of9j6AlKFti9KJ6hdgD9VTN3gKxHe85N63LH
2sgYikyLoxrVA6t5Z14D1GNjbsfGuC6rML3DIFvYoHH7sn3tMs8Bll+KIyL4l5pxmmYrksOyp4lf
heNdjZR2zVR2Xpy79ihPaawoxrBY7zrq1jbgHdCXKN0MW1D0IZY6nvJd2GcfEjThOlfDI67d18wx
upOpWbh7YVxF9OKgPzdkA2UVTkoQz72OljUa361xik5jBtO3UmJgGIvpxM0haKTM4Y4ngcIyPNac
EcEuIp2OqDwK7IgX0V6rgQTh0QmGre0N6ilEf562AAEoRRHY4rsDbPsAl0GcRdfMZu3tAvDZQkv5
rGPCbQSJDH2V/270BAaS54/vdlM9IpTNN3adDnexE2BpBKMwqdSkrKkhu8E9ePFdl4ID8vseo/hG
d7XoMLH8WSHPY9dqPLGT+g1qX55dIMrM/km7wl/w2+8wBtJTOYwTklCFyDhEjsicQdCI2VHo6Int
21RWLE+YjLZ+04BKFQiEGl2Xt94MaHW/d0mCoKVH1VpOGVJ1r/3w0mwWzvrdFZYHlajCtk9Fq7am
bg0PNS6WlWYXHiOMFexszEprq2oocrbisWCiC7FOncMhelPA6o4jNPO7EdU+FqayhoUSkcBiEerA
PKNf2BwxHwKr3ERGBPe5z7RzaOvDXeK3zT4XRN4IcOrFfMGajbFOLWwDTgVqxm81QBvVN732mnM5
JtEJ1vqd1GbOnJMDp6Rsts+m4D0PqwpJf4yv22OQtX35qNXjjoi38CnB7DO2NtfY/2HvTJbcRrYt
+yvXao4s9M2gJgR7MlpFJ01gIaUSfePoga+v5R7KjHx5r9Wzmr8JDCCDlEgCDvdz9l67ov9hZGTe
rJ1fo8MmfiHoh+0EX3NbsLTdlXrshD03GoLu0QOMHURrHIDWcQqq8ZK0xKtxm9cwGVjEmct/paNy
SzzFyo20ZjIPwWMDC3Skuu4YTxad/K07k7fl06xh+SCGc5o91vg/dhX/aOiPnXlMUmaouahv/fh2
Llrn0uaoqGA9FSdcl/j80mkfTPwAXoCYHysFSyDIISHdNtIMFg2Aq2mHCanrNxQmDpMdaDjbzO5C
ziLU8W5EH5nMGa0g7Lq9W/8wHWneRUZ+wOQV3bp4jMJCGPGRWdHemmK+EVIjd+nqUzqG1XByap/1
Wt0imKlXSGSTZiHm0dAXya/AwNZsGQZmewEk2Ir0C8QLVi8XD9D1fpWQkUz4x554MGxT7YOhE47X
NAy3E/ov95tmB0CV/fpJJzvi6MSWdiYqcjMC7b6py+nrWKwGoyx68GiWOW7lQGQzc2UKpF3+ZosZ
gW25EvtWlmQULeX3vsxJT0JZdQxgOVKPrOicWNU1dZlc4IVot3jks0s91ZAXGpRWMx3LU+41+glA
5CWoszvuyfHF76Pixi3hI2l5fdvrsK34ZIdmRnRBkMJjRG3zpsIVnk5vqUQd+Dk5IW5kiZ3t9+65
8AIWabX26GSZd1Ebvx3JP9HajCwpu7xzsNLt7alkOI+ZQooSZ3w6ed6NmboVMbsnf0g1FGnuV8cZ
AvC9HPVe9nXmfLiwqMeOOjMWTJb7WkLDvhWDXt9mlvnYxHN7yVIEeKife8yGtP6xHz2iO5keCezc
FXg/gpGVajVn7Z2wXxovGC6wwcgLyVrzqnk90iEB1i4vMnFZsQic6gCXVFUY92aizeSjJJzrC2nM
6bxaB8NGolzww4VJhw1EGzKfDBAbjiUNy3EFqogqjWBexi5EgVF2zsv1bu64fut6/m6P0LVNftTb
KhahVi6oweLBRxJlYMTNhh/T7NgPGachGgv9y4hEMikgv8W1ccua97TqHos6jEr2uDI5L0527XR3
geGTvtmQm1V1wx0FQjAecbpQ37bzi1sxbQScSSpeMEC/2ArN4mbA0hRxIfJbFOqnpmQQLsFe3gQz
KxYqTvd+z0lkjW3ONBPuUiVuPEqHqTOZ26KxMApjbWuFf9CyOD3FvpS2iZ7miQjyu3wZ71AQj+eC
cmCXk0IFKDc9lWVFnWbE/GDjL8/or3bGQrpgj8hrYfAknIAWD8LIdAc+iaw6LAqMHwHX9ej+kWbt
Tz1zxQFr7fdkAZDXjeVt3RPlO2Vg60QksPa1622L0S9csRSHiArrTUN/+LDMc3+wC271Gcum/VQS
ZzxUotmnGiQb4aF6NOPhpXTa66C5UAo8+s3r4jWHpTSAtqP8vTjgUjH5A9euofXNcKoujT88NVHg
XyngPsUG95IiIiQ9TQ2iEAbUaRr5caI5udIEzZqbk2Ng9bY4w6F0qO0aqyCgx5S2euE/oLWqj5MD
1UHTNOInOlRf1UBFSRjdTyuea9IbPaKEHfKms2pnQWPbdEP3Wrn1V32p+zBapvdhYGbrz9lOfY7B
F9jHVu91SipO4DQujpMxPCc+iHUgmxptt7s1eoE2F+9HTawMgS4F4oDOrUfj6Vz39lOTXyDazm+2
w31nau1yrznD+aOXLyta/+j7fcjEZUMwjoanhOgP1E2y2FvKWhJkvOE8dPVuiCjC1Bj+V38kGUtW
yrQARqCPFMDWRnKHjEovw8KTGgR1nHUdhBtiFSgewuQIJoqsbh9hEk+YvtsIjhHRFLvUTkc0mfFD
POAm7CHCgaGhCaZE9cyhpqNBIg9KfqQJevleWv5AWVY7Bu0dWt/iENM6Pk/a0J31IvCI52nAZbnG
dI7NqtwKK0KSmfXTWW2SIruNepx7GqWac7eQTmnPnNwlXaxLlLeslB3zgYuFuFZXvDjrRAqTnYLz
YC0D3qogx4qmf7kFK0cZw8WscVm4QrwkX06FNcwUoVeg+WbWAv5Aqx2s3HlNoJgb6qDPRoaZOSZB
Br8Ltz+Sf2m0S3I1SxDSbOUnUZtPmffnYzBvs32+1M//6ENH0NmPOasRB2bFWX1ytVdLXffnodrz
GgyxLSEIqK89ZsFtPp3Vnv/XnjpM5BdGKu/T2ovbRJDYUzawshjYC4Cl8NImBU2DgrApLM3ZjnY7
nNXG4e51WtFg+x7tztVnvbdBIjaem4LOp9qoQzxXtLwyTF7oka+jny+XLl515gF8GfL/tsqaJvV8
KcPIlUghZ3Smqk7TmG4FE15wn6z7oPt1jf5mLJa2S2TlVNPZ5KpeyhykOwf4GoYgA8JAZ/lcmvif
1F4u95KqcPbwbT8Y4TQS51PivfTy49Rp9mvTN5LyMxYkx8vrRyllYtc/l/VSUX1rArLExPfRp2iG
wRXMSr8glPlrM1r1dUDVexiTHNWIA/PCVRVhmoOEmltZftRGlzIilcx0tu9tSA17pXL7H0b4fyMQ
s7i7g+j9339CuP+NEf6lHvrkX9v3vO7f/y4T+/XCXzKxAJUYHntWm7C9HaSCvOefMjHd/g1pOHBk
B9mXlIV9ysSc3wI8X74X+KbhIQlDXPYnJ9z8zfYd0/UgKiM3leKyP/+L9x/qr+4fx/+qhvK+Timj
/Z//ZVjeP+SruKkYl3QdPZuBmNExJDD7byrGQO8q+GRCu2D2lE0cCi+V7w/hYJKJO+Pm7+IEEmUH
nNCJllBfonM2d29rqd0XS+SFmeBemE3gZEbXIzJhpWqFNXm3FIQA+fF0z+SbgIZ1C46AYcMnXkOP
NuiVYSLYBfJgMqsSA7kxpBiZHQBQpi4faXe8WRT0cI9PyMKr22SuDkL49+Qu1Bu9Xp2T1ZIG5w5R
WBjBV731vgRB/Zyt6+1kzz/8ppKZ0MN+KJcLANwzpbtjkFdXhwoxyxaWp4EsFZr5Y92n360Mv+56
rBrsKkLvHnOH+YMpE36agRtX79RhmxW7wpydqzFumi5NiYPmtjRq1R84Mg5kvVzSel814w6w7j1L
Qwo6RXcaZ6ZhEUSchD9OQYttett+HlidTUSTal5MYonFZ3Yij2VZ97DWYBLzgYDFIDZ/rIa9W/pJ
gCU2ydPKz0gRv1DUwxDTAMDLhmDrt9q33hmfGlG999sRBOu2o6kLAxiMAwhtkkTWnTaT06Nzu9cn
TAXMcpxhzEKXXKMBg6fmeUREzi96Nt6MtSDVfaJiXvJxc74FsHkVN+jxHpt8HVLLqcImTY65fnKz
5rGvZpplpo8WI7+umTOH/sSCRjPTd7EkRJYuKcwKP/+9Lu7z2LnDF/nFHuK9y3vs8wE+Ij67FqAj
ngQL0UI8xjl1dO02yqkvpc78vS3zq5bQZmX1mO6D9bFIHxv3hz7jTG2K6dzzJSxNPT8uc3XMsL3v
gu9+nl4IzdLpEEZPzgwlj9/ajCD3TOnIioj8RX8WEmeKxEajCNUai7dNiuR5sCb/mLT9Td6YzaXx
xqfat6n+FsPRWB2sUR6FDKejo8KPyaCecypnxmuJGHLrWqQXx35+dWuR7Q1S7+35oeM+cXS65NYa
QTlZHiH0yVi9lX7zlnPn31T6i+3lr9AWijAfIW2ZnvECdvrHMt7oQXVjlgQZ5T5NPhtzCPXggRCi
fdPXX+rJfQStiRDBTuEzTNybSAlxYU7Btb53ne7WxECsxSlZV0TDe/UcUsRzVjxqjtUOO71f6d4x
NaK4G2IwyFHh/7np3NQGd85HLH0Wrp3kHy4Usd+wqSH3M2Cd9j+HnDit3KdeA3sH/ocon5uGn8jk
lkSLOjRW+6uw8On3CRrBykuqbUNDChnmQ9GP9hFoB6UlHePESLwczcZt0CanyOmrfatX+tmS5vVJ
lm7V3udj8JMphBLlgkZNbQZbqtfkYSf35GC8m23/7deTGZZAUZQxQkD7c19bG2dL7grIPfXc396u
pOZlN8QxN6aNt2bqaeQgA1VHzPR6a2ekGQ1qs6YgP0cuv07pYTNxeiwvXULm05D+8HSXJeqgi/bI
/AQzWZEcyyrBvBoFxySricALmIKfm6DuMScwpVB7k9XcLwv38c+H1OMsYW/TOfX2n3+fyhepP1u4
l2xXpyR5saZJavo0SRuL4OPVMw8toYGkk8vHdLlRf6I2VRzRktYPn498/lXq5bwKDyEyS/oS6pUf
7wQ9i2fUA0jLcDSNUCFbzm5nrL90gxPt8yq1n6ZSQ1J6aKY8e6d/7xXkAoFbtb5O9XO0Qi0MREpy
ZO2JewOv2wafuX0paTIPos8u01g/TcvS3gxmYh5do7p1ZU9+6Anoaol1O7GMrUakqkm8vs/JSLVy
G5hrTnKu1uytEuDCLLLbtYzs67yMT2Wq1btqrEFWImrY0nHzz61nwo6L6+fO16bQs3RQyg2A5Kzx
dkWaIUqmLby+zUaARgk/3Tla31oCeVHMYEQg/3HV2vUwz1l/W+fdKTd1WE9r9y46A7RWZXXHcqm/
2zJ+r3dEckzo/T2nRDCWkAmOfQpHuNGQKmOy+wpJ+2eVDN2jq0f1vQkc1iLT1NP6AbPUkIJyqu6B
TJFUP/f1qzvnu3JJHinX0zDsXFizCcy/ztPfxj6hqRcL/5wH3HA7GqIJHZS5vTWTh5aziyUxawp6
bN3ZqJjUL9UA1wB9DevADZcxEacj8WMnexbJwTWjiy0vLFVBT9oO6Is69gGEWWNwmidfL4+K5qQ2
axrdjSNdK2YTJdZRnbV/3yu1pz2QjjkSkW530qTrSdVvkZ3dWVbrcunMXYfUZTFCGaCVUli1USSs
LJAn4+fx0ujmoRkWMklrcw1NqaVVm54BGMEGZyg6327BvNrBedA0sPVS0aCkHkrEoPbUY5+HZH2+
aJAHqWTzHpa0WC8Vd/fNUhE6z1zhaBRetEk1wwzVszaxb2FqWnNY9qm1hi4JZU21ANKSugO1cRRj
TO0qHYJvOa+uC2dukYZah1mBaY/VyZBxRKvcKPnG56GRgG+OINKEgIZZ+M1yYfKxm8hFnzrWJlaj
Wd78sOO1Y9VEfV7amzkj+RqoU5CgVyxAwKfVDxUArF4mf4PdFo6V1KyspRwcMVAxdjalexBusFe/
Moy1Ld9wcxylWf3zVx6klryTG7WnniiWnCa5XgN4mstzPRm/NupE+DxUe6sYlrBvwJmo311pXdQm
laeBeqxRLvuodeN96Ypn9dt/QNPUrqH8+bHWvUVV5+w8T29Oevq9kyu1SI/sbR6TJau+0U8tTO8B
eB2w63Ll8jWqjfq+46wzJNPgGMmV9+dGiVg+D9Weemx1v4o6609+PyHhUN+pOt3UXl620IQiMKHq
LPvcfJ6DnyeiV9gnnQvrQOoZQcygT+5yIjv2nxKkQlZYHFUYUQ9OKQCTIhU/lcro47f7uEaVTV/t
shxgaMuX7ecP58UaQoz/9BtaA7kIkzcc1W8zqmv248r92Hey5oeXmd1O/TCfP5H6xf7xmFeBDhRF
BXNXXsLq6v1Q9CjgnTpWz5haEu1Eor8YksrwcfG2Hd+AOu7oJHL3GYmOYdpHwnpBH1NdMupSAifx
6/r6fMyIyT3uTPsAQLA9S5RfjtHY8SBFdVJqpKQ/6rmPP5CP1TGW6dEZ0KtJU4AuXQDeX3v/eExr
Ba115u4b25fy8pSVw94rUgImk7WF1r4eTDVwSPm72quAp+/WoP2mfkI8HL+kZOqwhLCCVkne1Zq0
co/Eyn1cguqSrLskQeJEKBLTtdzfgU0G8aWsKh/j7G0wiezjkrRcD5kMbB30jlySbmezBuuKhMKg
PCwnpnzqRY1lPFRZ2ULG5eqshEuwt7pa1SbyuedvWhFx8sK0DPEK4v5RmAv1S//tuPNdumcFyRBL
NUOr+IdmS1cPliPs4rzHLfzX8OxI9ZY6VHtqo3569VhEbZ7g44A+9p+yrSJa4TKqkfNjF03YV1hj
SUZ4ib0P5E2mlB8GMkFdHn31EWZrlh9MPWfGLZoc+RezwfzoqHbVU8zDfr1WHcYkkpJx62rfRzAq
yXdyWmjmSpAEfFAqnHLvc/OfHqs0jVH082/iUn41/+ktZtYqO5Rnf6i3KdTrsAJdHMdKD3972X96
7T8eyxMkVatM3Un/+h/qhffuTc60U39bz+DsOjw4Rtv/bkBNXMPK4PKxY0l0kJux4+v+fGzK5MVm
6tqeUGvvME/FpdSG8mAh0pQJorwiXiQuU71Evfg/vY164m+vIQZ3B7v6WskPn7TWq5GY/k791cfb
ffzt2ICyhZ+rXwwLMaJ6Xm1c9V9Vz46YmvSSE0WzJdelm7j9NwaKLu5uYjp1brPsxqGu2uNoYAFx
NQ9ZZOIzLaiqgwKmKF/KrG7ujTKq9LWRn9cvtZwlfAJM4kSG8MZR+dYiXNkpe82CEgRt34TiDlJp
1JBZBTowqq6LBjKNUtyvArSqQqtDX4286jgLShCEslL9aZ2DKcx5oo6bnpxn5po4ZHyacxPEmJIm
9U6hXXQ5fnhyvFCHv0rl1bPvWWS6ssDb2nLkGaFa87VFZ/VZ1EPqA6kNYCD3MJbFoQ8cnLdd4iGK
lbMEHMzkAQcAhFQFWRWPNW4MLPWkkFPPkCoPcwU3jZRZ5gqyXqqKpGqv68vkPHAiygHUKYjLmVaC
KaWukxhhtJ5yg7h0S0jFcOzl0KscV2qvpXDbgtKG+yLdY3JozyeTU/CjrimPJ7ugqGTqIfBJnZ6I
HB88qfAoTfI04zh668d1Aj0j+T2qyv2xpxMOn2jI863V2KnSui8L52pP8MGwvg83mXDIBzZvQHlx
if9VSXeHZNhWkTNsyHGg/FvpfG5dTtFq1vI6+UBwbXwyFbZZxzJuSrR9QgUQEO0U63grGC8WLb4X
To38Rw2l0jnkKEjMh1mrN7kh29FVBDFWa+nX0alnLaHaVZ2MytSXQzWQDPGXH0vt8RtJzM1fD+pj
om2HVqDLkB/ic1P6mQfLz9t/PqTaOUQHxWHfRZRIbOzKABwe1LupMrXa+9zEcl7YG93rgGNvp96o
UPcutevOJV+8nUne3+gce5vF2CUa4+GIsxTqCHNwtRHqVHMSoInFfNSRhiPEls9qtYUVrBfvqqeh
zjY/KFELq2NHCYcTAlv4ca13cwTRVcYomtXJpzYpNUKdhIL4D4p9AgeNqfPWaPjXSqQnBakJJJ+G
QDjUDp/HZSxQPtH+UM0M1eSp6VBBfkd8CTZcNjZSfONwH6sfNCzoegQIgOKIjTr8t8eyNtRIvw7L
6TqaVX2HzG66JUfB3nTmjnkNhSJK+EFuR4SiIArtXe3L6K8ZsunI2ycmga5+UFcHD+IGiLZS7Bd9
TXet7q/3Rvm46BXmjoAmRiO+NN0KsXoGjGtH+CBSOoi95X5FW5lcJ5FAflj1+2Ew6mtB0Hbk3zDd
zm4IbrAus0HSduZxQcTJbjKWfpcadghJ7B7Rof6C9Tc/5WMDjnb0HrNZyCpMTwtDpxObU6icszE6
ttH6kEdLehSd118Qdl5Hy42OxNNTg5icfRrrMwA2LDEey4+ly8TRhb4TahPC3GDuyBjpitsqwvKC
kh0EHCBFJJfucOqH4RjEEggvHOc29tZrhk+PUvDyOtGACidvWlC4ItkxNIT9GKARgZgTUVG5uLSZ
RW9f7g25+Ak6AkmU6JqrhcqaSS79qFybk21MnTPEgkVU7tCOYeUIoOQxOmstwtfpEK1xC2eHwier
8T10m7WwsUdYNmZ/gqWPVdverqN3x3A2PVkDWVOLCZYHUwQtzUqfDjF6YJrjGGOQmVMGibutk+ki
bNECku80XE2/0sMRyv/Wss0shM4Cr8H3b6yqrfaeIKU7oTZj08unVPjgNNpTEVj9wffomPcUUksL
wFyK8DgwJ3glECfRv27sgU3UJ+XWmoOdHY2/11JTuBihT64HZirryZEkxajBGoEm+nnWzWQnsqrf
zIPvnJtk9XfZMHyr0ZNshsooQkwtX5ZM/+52FHGr8XdAejjRVp0Kf3Bc53QNLXe4AYOEDNyi59la
OpXgInsU+DAOlkj6fdRZeJOdWX/oQGm3U0WgiV6ZKOSQGPrcKULp+Rh7UIpF4CCtwNsxi8U5OJq5
szVcyXDzgdbriHlyNOTXeImJ8GPqvyfmbDo1q7mEEky9TunvY3HskaTje+G/oWU/deCzm4FpX6gb
xDV3NGQ7r6xvLEvLDrjF503jWFCzFiO5nTWCa1zk9hSjoeD3A80MUKs/e0fON62k3+QsMGlQ1tsh
77jZmzF3c2Q0VCDKQ2r1eBorQEBkPG6tugA3QxQx2GLikjlBw6rz71DYXIgLzq/C7486SO1Tnovv
zUyzpDasfvs/3bsKbfny33XvAH78P7t3rz+7/l8vaRujYvqv7buPV/5q33nebx5aQ4m08d0A7QM9
ul/tO9/8zXUs28DIZLvEwcin/qQ86L+5lm4Q+uAF7n+N+bW83wzyeHUCWwOdAFr3/4vygJD03/Js
WdwZvu14nmHYgfVPCEm82FNRwQQ9oVXM9r5Z/yxH0YXmlN4xLreXybJo5DS1jp51eO8Hyo2Lds2R
htyOe7CZ7mmiFwRZHb0KyqGqyuFAAXpiUh3vG9d7T7PobphRyNcuiXRdjBwqF010KDLEUhNUzdS9
NAuLkEU/m9YShG0coCY1pZxoWl+nd9eGiLMOgqCk9YiohtShuDkC6zK5RxEioLsQKjFur0KcWtzb
hEtqJXULYLZmNb17cVJebUDomcuUxYhmknSK9TqtC6bdPNjGCaaEcYU8j+auMHyCmcCqYRQ+BUmX
yCyyG602xNbOZKfc/DIkZbpldBj3qEJvCp1Mw9mtNcqpiIhFN9YbGVq7MZY8CJu+CXazFbShYyTl
wfZrgZJB06m+kJzHUvRLPjj+HrRzOxIQujDfCM3hvaX3ubE5i+8yGUhYmB69g2yzDPO0c5fmpp3m
YeOlngaTOSe0UoMvGRe92MYCbJyAOz2lRGdCp8Klhc+VvJz5yRr9xxIra1cX9WlGg741ne7G50Zh
HMvGfGr6cbrqifZEKg9Nw+4FEP+DY7fhOLl7xuKN29JtagUwpNcVV08a4B7TtcvUBHcuzgQEmM+6
17zbVbQZGwJ6cqvd93DDt1rvQ3gPnvHjVbLUtYmr7huu7Tok8IdZZEmLRzfsW7Rk2MXdHvtMwY1p
ng2kwhVOsMQ45ogHp7hn2kaqWVw7xcXXxxtz1N/SumOgJvF1a85GvU8sd1MJlLSpqUXbopZc7Rxw
M9FrzdbynWEbGW5/yGxyT1BFbMrORNzMCb4B1tiFuvCcC3Ei4g39KiiIS+95LSccNCTBimrbGOQI
CrMMa+iuB/o+KVbnHwjgnnRTxlYh30CPmt+YLaiySLceG8O85pHzYBbBHfFHcSimb3ZceLQMszfR
JO1dW+gbboPTUbPQqefIxx0Q1Bhk2w7KYLBPW/C4s5Yn147MqhL6/n7iJpFDG+ObFOdubNaNPQUH
a8GVLEAD7mJshgeSuXeELLyaTETgadTovFB+MxJwmc1NqLOo3UCqu0at9kDyhECQhwkLzHDUtQej
Gyd48iSN1WAXi9LzaVklX6iZMBdbKdH1HUrpRsJ+S/R+GI3Gvp+ekyfbRPjdPvolHNfals7GZv09
65kKVbX5OwLj2wjDXVABNzPsrmTa0cK1ZyLDCrSddrXfJ2+Tcx8Vbn8MZnyZI8UJWGTEUI4hl81b
xszAoaQ3MB8ZPTPdWYZz67WZYMbIrHV5rYz556KN3iEZnVvhzqfBaM29Z4iwdnzUt4THEtk30iRL
ii1+fcxuvtkjEtC2OPAp0cMNd6P4oe0TFO7RQzfeRSYG2jZIeIfi1qtqhwEAvKdJjxclvCfIIcIO
FdcWPG1Uqfjs9KPevQeLVFd37/NMwBnSou0S6+/EqvADxdjt4QDtvYiYyzFhKMu6+Kj5JM8RYPpj
YAmCvcq2D0W7ngRLkmsxIfbCkfU4iyB6TsriLIov6Kdh36TV+4LMYFtbSXzucD9s2jr5CQt3ZwST
RX4q1vTC8u7o646gwieZoiLBGS8R9GsaQqgmJ/+U5on/MMqWbDOW4TyuJYuJNt4GcU25OEmc3dT0
19IHkJX9Qe/ppVilKH8JMGzm5s9pwPBV6vAb3YVcP0d/8sqy203djzi1JtB6dR7WhY5Su6z3luka
28D77qNagvDoJ1vESHtWaaGVIXjwG0YmUdMbq8eYRAw7fnABZAztTa8t0CvThl+3BbkcOcvW7dsO
HUWA7RBPdu5NmypnjdIMziUJQP0n9nPZ6NnGSkjh6jL8b0V6jrAt+8ywdpbWNyzagYGkhs4SKuY7
9oYbUcbPQj92vribxukAS8vHfwytceQuSaaP+VAGephDAuQqKBG/UV8HrkJgBP5qDTf6aM67eIIW
R/5cs8PsoiPZc0mxrr60RYv6M4jhY+fBNxd3xbH8Iyj6t8wHn+AV4qFbmvlkHOeVbD/0aXfoem3k
8oxwDC99Q0fOBuDc9hbuSJ3+gR4zU3ahuUcwKLdpEV+EExFFPwS7zLE4d9IX7gUijHI9P9DSN27H
xDqNLbe1qRT3Vt759zVLuBKZBDah6m027eTiJhrxj156GvqKNWPbwyp0m5vuWFkuEuw+3mSJO956
9sAdctRJpgi+pJ1mnQmfy+81Au7uNZYxJy1zjwnidoclo9EPX1ZPPFMVfmL1t2zi/DWpiUqZ/ek1
MDgtjVnsJ1pzJxq7KA5g65extm5ZuZ1E2qzHsTsxrrKy1ajJreLOn5IRYBMrSD+0hIcLc1rMTb36
cp7N37VrsF/G4AGmxPIQDbAO7GX9fVhQmaSz8Eml0L817fQ49IuGVonzP4B0UZImFTLnmI5pZGIJ
WizKXBsTTRd+bfJZsNHXNQkX8K0TzFiQZe3mZw0XYi/m+ifdKRdCwELINIWAFnkiOX6TQdncP3f5
Ijthyddytp4IjkUTYtuPMROQtMhGBEykmibRsgmG2g/1Uj9FS3/t2hLmBrcjAL30ZHS6I4Y73njj
W2qmAD1JriwFS4+SEL25LO/01sdxaMbfhOd1eww3+VEf8QPWa/I81pFD9oD5LYnSw7QG3OCzMAi6
+dVt82ZnivLJyL1XZ6DsBOvLpRWnR0erMVjo9RW9dAwie4INumNtGON+Tt8dbZ0ocMY/sIRVh9bP
D5ZpXVwxdVxAfGO6Rm6KZQbPY8VSLPXdq+naJqjMiVQJj2Zy7JgvZcG8y3WL94z1EEJGPEZ4KjcO
7CxoHONjufQvxTCS/SKSeFuj5vUI2sQh11/jmSIuZdlnEPQs4jJGrm7S8psatg1t4rW5qWeIqQN5
PM13PRLWrVVpoIYQNM3pnJ3XpT8B031Ijca55I3z3oxpuzPa9QHNN4XVOHTX+G1pAkZE8c1ttac8
g3hpJVFEOduscWFo3XHxkhvkI8TOFetDkVL3Ax/oQGUx/gBIGRPxhfDLIEK6ZfpEAomXnZou2RV+
Nm/r6DWXJ2qL0Nbjdz4xWymuvjEzRWKsS6eoxbMs4h2d8IZoD/RkhKUse7HMnF8tAFyv2K/ed3q4
04aCe3OYoCDn5ndNm8dwNAl00kyd7qb5zSZn7gQx9K7gLnoxSnC95YqOSrvDDIaVc1qbnbZUxC+J
O8PryDYcssdsvRV18hBRANv1LsG2SWGzJIdPjkoHBQySuydvwsjU2Q9w3M2tPrThInRr33b6Yz2P
1W3P3MdLmKIHPvexiUKxY8rBPbMFpFBWDcOjo7PKnuv2AVrm1S/7myinUI8ylqggTfqJIwqUNlJC
7rKrRWT8qGFQRHGxdmv7tbTFK1Ne5nYdCSfWWBth1XT3MB2wKBENFmIloItviae8731kRNlwYxTj
CB9U87m6+b6JQiK7o7vHdjkf7HF4nj3UenwgtHfY1/Zrjxpw1Ki+Q7HZ5LMVn/p1nrZRZg7nQvuD
MSZjTj6U35zxRBEG8tLw0urdXsPCcF1t83ZEwEKxE1syIZHosZr2tIzWuJ0DaGydg8vJZ1z1jIC5
mbb6+27xrU2vefldFukrE+tBfBONjJyymuG4wgch9oQqnFuCdx6j6cVOqdd61Q25qtmmxmn6FjXZ
j9FnNprl8x3iop+D1RG0aOPzJWn4XmexQcIGI0qabWcqtBsrco1TLJ/i/Ksjuzu5E51xGHrUEYN9
zgWA1s38nhRXrXT4p7Sa9JdJvC7O8tMU+WOXwbhhxlpthtm8dje25mAArW4qg9Shuutsalktlg5o
tp6efIf8tG6YiXyDc3ry3YX73n2bpeduaN5ZRT1gBX2ZtHZPRtO6NU0yPsS3Xpt67KgUIsnReixH
glQinGlUWBI9Iy4+LsZwfXSb4NGZ43cfCvUctLvWaTcFKhtQf++RNpwIEQgdG6kUyxvPnm7MvDA3
EYqXYKzP5G6i6/dOaQmXDE3awbGxrnXu0Y2S74HxPK/rbmX1Ns7N1wbwh+EGz7YHboSIqjl4ipbg
B7PPr97IGGJTKNcaiqs3ARl5LYKvjFuLrxesDap7khJeUCvcwyW+VEnzkmojwp4J3WN3D2sVAVzh
4ZgClZNQnqMMhT8+w2A+Z6Spst7EPiPfKivKh8ZGxOmSVlfSuy/BL29Mbb5zXDA4U3ufreZb1VKD
nCbc4oA7IkZoLdoVTn3Rq/i2RmiIkhOHKePCzLfJ6eiCoonNh1o3XiykaITg0NDKne/E8EZ1fbNq
6JhSkT8FtnWTNe3d4mn3ZlTsOvfr0NQ7fGJXPD+h15E62dq7FYnf9a1NKxSOlv4E7vk4ZIzKxgmH
rsvgbd/Nrf1N1M2T3pk3sYhuh3xnklnpo6qK5/wbgavM94TzfcBvyfwX1zzJzVAmhh+zcKl4k6Ec
JWFjFFvKgtwKmAi4OGOY2rmZjEQZYCwkP+hfPRTRTEUAJZhuevcOfl6rgc+cmqEoKRrIn6ZKZcIr
wIj2GBDCg/kObar4ghcu3xI5SFaWh8Xdn8KGSDiULuc+sGhcALx1zFd/HaYwY2yfuCP9X/bOZDlu
JO2yT4QywB3uAHoZczAiOJOiuIFxkDDPM57+P2BmW5aUbZltve5FqTSkxGAEAP+Ge89d3nNjcB/r
wt6zf370S9AS5ZtDxCwWtBXUedzZChXe5N12YngOIHeUTb/1/BhsPbmqtnqirHhmepFSRtE9I4C4
TXS/C+KIuPTeVg8IW8P6lBtWtx3bhBDZLLlN8F8f5UA9xcTlYiSmeY5Us0cC3RzbnodGSaL7wJZA
FkTbuXxMKQDsoPdWsW5KGmWjWqRke87+7iqQ2MoD82bsmABwcBELXWYXPRgPWNx3RhjVB8O3b9GS
10QNcOEXpDltQcaTAD+e58ThuetBcCiqH4XmBbAKWQMf3c2jAx+gcr55CPgOBV1EqAeQbV3Tckl4
aL6N+TqNSQ4z/IPoStpXM3wjVvmOOL+VnxYQfy33LINyz+SKMi6Q18xcu51zrd1LvXi+Y4JdWo5o
asd3B5KnwZ63poyDjNCtdevBUCecfJpktxpp0VZjGh3msngH5eEeWaL2awZ8w9rKhl3oNbdlwI6k
NZDS6fg0YskHw22+18YwPZrRTeX6wcrz82Lttwrai3vh6LvtZYz+znTgXhmPujewIg/PomEEUzRM
q8zSQ/UGe1mlnIvF/IoFFsC6DO1d607cbd2B63InavYAZYZjaciTS2S67nUUWKfEF9A8CP6qyVe4
MoAv9T4m46IaGDdx3Smr6fZhKV5lQYhYg9arxzg/1hoba4oa3lz2OaQ5FknxRrAzrv92k84O+Y0C
6kIQEcQSJUefhM0QffMpZeK5UWaIfnRvDqGL1kYTH70ICXQSbFJZnnLL9xDT2PTt1vCJb7DEo2Ww
mACk3ZQ8NixGndssGc5y6K3tEqYgFC1HMT7EwNEot1A65u2r5Qri/ShshhSlt22QnmeV0PxVe5pC
Bmxt578ENsL72ojWQ2JCoGgaIs+lhX9ruC4iBOvGYmuM5qKko/iZ9dygnVPRSar+RbcJ/cIA599g
ZVTXHcIcElQbzIN8RUeevHrWO1Ead10q8g3/dYJrm8YvU4gbZJscoBrS3c3qwJnqkJ4LIabvSXak
FEckx2HL+is9JkodplFf1WQGLHpfknrJUGsbxhtgx/v7sfss5DBuQOyQW9EOTKvkpeps92gF6O49
ZOSF6KgLcC21UKvxZDbX4OhunbHYs7XD9Dr245bg+cSqPpTPKDDW8ec8amdN4BQJka714fjqR+ZY
MKhSEOOd6wAQKc2H2msOplE2G7T1ty2OOBkhoXd7rmrPydY2QJWSLodacASX5cJtSoIYRb/9ETVe
vHFjII9FgD0X7S6Ra9yiMMFrp4rXEG0NZGzGMRePPnZ9tl78wynWkCm9Tk3Gl3nc3qWFfOyMguHA
ZLzmhpCbzDGBeaJL8irCjAI4agiypI82NzJ1tdY49xoTXJLKenMN0MVvn4smYB4bIIolB31LaNna
FgTGkLGOgzcQeAm3MC+8T8MUT3pmIqXjIFlnqp/3DFQPPvh436HvMCJScpx6zK8C7HplEBcUZMTu
5A7FL2uuddiTQiiOxAGmCDbbuvqAdknYAZfy0jLdeSkuLKJ2xFXQlCS+xji9kHbeyhEheBR/WQao
LQrNPjRs/vxZvQiNhgHbiecbBhY+ZujgmsKNWozTXz8Qw6mvgDjoKzGxhl59/WbrRciOJLd6wzMT
4Oyy1WJgRQw1woegs64ZyKhdsXC7ytwMN4xmgOUt8gJ7+UEG2ORX7aJF+UOLJQMvQv5JskobWwd7
iiZcD2h2yrknxiub9l/SVblIRb5+NmAFtl08iCUHWKrDY1fcZVaF/rlJwPUOHq3I11f/0puWMMR0
Xnjphpk8atLl6369mK+ffRG7fvs9qlCCmEpxwOQqrvoMZhzGXB9/KWpUgi4NHDcGSD8t/vwhzGlb
2ax8k4tg4otjGmaFN5FzhUTC+ZJ4fcFOv+imUcv5kwu80l+6xcZWJ2JW4z13HqCwCKpbWPY+5n1S
cUiyWETP/NBx12wHYb799VtLwh5VbknoIPYdLC//+78tJ7Quf/0yxie8mVoe7X/9wQDnciMrijlC
jo9MAEERLU6Ev34gCQRlz9evo6jdVrXA6+kt/tUGqk8mWHA7wGjzhuwjFqEJ9qLqwUn97FIE1MM9
WpNxYIBdZf4pc3Lz6OL6gG03b63OsjYmwK9N3dbrtMvcTZgcC4so2qwDuJHTrMSeYfDgSYw9J8Ed
KTnkn0ydeZ/69XWE+nAdc5YCDZgF5+kQEQERzFBKGPJqkZDA0+sfszDaQ5n3R3oCde6maF+3LkQn
plJY50UAPTSjumUKqVeB7T4O3IZgo5kqTlH2NMXNwIqfuBsuylNsyw8IDz2fKBMIIJSPlp+WqO8T
BvROuOUZfTUF43IIwEhQYhDbwu9u7dRrTpj08YxP9a7Ebjy7ABqKUcYH6Dycqk5wNUtPo1TqyJXu
O8EYBtpVlpiHnMDpq8Lvv1dG9mSOCDJi5kHIhbohu6NPlHjIcfmnfke7VDtrHpKSfRCud9LZDUBO
ZCa90/umt6VBEIf2U4+lDdZye9jUeQnEq7hpzOvAFodK0qrIaZ86zD0z9ZxYbb/CN/IjM/RDTVOd
VuUpTaf0KKeC0aeNJD6N2UiLp6TyAJXB4Unco7aJNaImg3zXj48NPvg4eURXwrxFDjd+Z997dXkc
vPjajKZNWRXPDOPp9xHY0UrmTxO4WSzF87rv+tcw826XL1u6UIhbbMTEKZmbMIo/8wIjExN8FnHT
i1+Z2wxfMPi+7EHZzjcbVil/PKzS0HyB5TUxg6o/4eq8tHyHKmYw0qLVkZ1ovpPNxlRNPNTtuUDJ
v2JQ6awIIvq2fHdrm3HDJdF63nsz1Kc+uPXImlGF4lWG5dVAPdH213Hg0rnZIJEUfnvqH/CRnJRp
Tk6t+VS1474XRNSFUffZDC3lFX0uE3DOSnEsTds4Ne2jiEdyzEwCS+gBj9j49uS9bxFjcspXGRy5
KPuR2ASvO1VfYDxaxVFRgxupOS1x4k5+jTPKIrZPeB86UHDbSmZQVjfk62Rq2hvyTUi3HSrqPmJm
WiOsmTjsVceYHo6eWsvE7Q9oiPQtaYI0BeT9mewy0iJH9VkTBJTPfAs5m73lrWNRJN+qBMWiNF6v
s4IuVYD0WDmdejE06eWtfrC6eM+W0r4IVnAxutq1DyuWVpeBr19dar1YTPg8anyguzqsPTQ4zcWa
3G99bb7hiZebvJDf+6Imv9nne65qzMb99JHUYOONdBuIOti3Qwq/wa8fNQKggIUohY28CXKyf4eh
QiXGXHgVxVggGdah5iFUJW3j9wlAoyWau0g3P52EQehMouCUFT1zQXw1kQf7M2ERYfIpokuBdBDK
17l0+Xg8d13Z3nn2qnu/k59D1teEsDNzLRoSi1pYnTY/Wf4oiggrSpLmUzTmCk/es464Sf2o53Ys
nmvHukGbNexUQmZAbRv7tHqmyfIQp2BODFJbr+2hjo+eH6ybZEFuZeqRjTohVAHDXzLH6dyQgTgO
eUJxAuy86SmdsXlWSy4nQrbM51SN+Ejc+qSc4ptpqGs7ypCyzNs4nL81fXUU9nDTWsEOAj5fWbgI
W6LuCKzPOvQ6fIxDhd5F10uZyvLONex9EMCGaI2KB2e81O50W57YT41mMCKIKnYPTLNfjFCC/XY5
zE+JY53rWr9WlGCNytF9e0Snlu595el312Fzw2WTy+6HKOa7srp1BDA/mzHg6HMtLn+AvJxFcOUD
dEXBEs7bLvJILwmIUTSwy8CvBrt3l8BwNab4jfSBg6eLHS8NVrdmFgeu5HbymcRQLIiNmsansCAv
N06M+yxJz2X/bgQIYd2+RdNoHqcqJrisDuTKtlgeKncrQXjMqgu2onRxzjnexpfGAbbvNXOqO5zP
tzJt73L4u3muN0Uqb76+7tTCFcS6GdLtwUBxivuwMYsV/jvgGpTcthlxdWoMOhRIVETJwoxLn5xw
XHhyQYOaYPpheO2ehIOQk2fpESHYcLzAZOvuG2gzi8QN03KdX7zcv9dWspHTUO8z+81jjrsi8+MD
XNrtgGqxqaunuIJ5UocnlRvX+ByRGPNUHL1bl2mSbBkUBW3IE8yWb00K8XNyXlvX/emm72aBMZfd
2WOO9qGJ4w3CPjC/BVv32jzwcMXzXDNhHc3DPNSvjHFpFt2YNrLd5zxojbx6i4PsHjHFTe2pdVqS
td72fgo+ypm31CDn0AyuiHJ7VKb9rYSSojO+AWrLYzQ56QYt9uuEBg54XYqYa1qVrGFWBuNTavIt
21f8XnrLOvANtmO27dLyKe5HQgDv4bt+mAE1joDkPDT7lPuEg3aPo/NmoZRYISsbezoCSiY5bGYu
6ZZWtobFxCrUoI2f2ImVsdjX5syIuRAXN4q2k2m/VGjC2F75p8JvNznqhM6ZUrpEdikmkZ9V+T3u
+m9N0oJujaIbGdaYqePobmjzT9dlgpTY3YubVtumbd6ryX7Nqvw5TykLuuip0v13fLb4IPLxjloj
39E/OhwA0QicMXkL4ZR7bCdWjEvRvdXvis/Td0cySlnoj4DJ3NRKDu6C0zHau7gwzyUBxGZFIHQ5
ypvURyrHSZNv6NvmteJWKoiEdvhEy24E/jVEXAmqhv0WlS8M9DcIk0wWXi17SSt5aysUAT4HBWsx
udNtdSG+deLwBNqpojhkw8v+VgTfG0MDVK9O+HtYXriclEhITkxeb5Vhkv0eHuPRfhv6xOatfnQn
642hWQp1pd8bS/yazPKP5f72C6hETavXjNhAzIp2Xo+2frRN59iHPU8fzRZukNNZOWza3BoqtRYY
JAKc0IHTqhsw8jSgwvgoKv4VZTznPDXNBvs4FuR6pWr7G9KAg51jTjQ1EfGwxnBrUu477afQzKfa
wKhRm1vL0XyT9z6FSsUjE6MZov0PA4ASI2brvQHnPhvDZvYyLp98qxHyrEUN/cwJiFbg7x2Mq8qK
nhKY/7ugSBSN1a2ZxNGpY1NCeBgly8xGpmBBWviPXqRfzJC9QOCPlynxn1uzP2kCy7dW1Zz8jliy
OC9/EG/PI0PMGGbmvROhHCaJBsIWiKMBrKnTwlpzZIyqyXmTDS73BNmgM8YWg6R4q5PxkGfW1mbD
vwZrheubMQjmRDnsC0N9I0RzOFYLXzO22E860TcgsDcdReTedwUCWZHcUQKhUZicF4Q3h3quPSDA
IcHkJtHVBZmPbCm3lglRMu2uJ4arfYeYcTT1K1GM6XYueK7w4do7MMH3VRVUW8uH/T4Q0FYEN0XY
vIg5trbDKCExIExqYLsI1wn2FmmBvPvdlRe07RXbm7XDxpVl0Kls6CqKRl1bfk8apjs+cSnUHCa3
Qg3oMNPiznDiJ1jw2BoNjlp8TSB6iRqIx4FwYzlVG4o1i6qZ75xH1BG32MqHALhumpRbhXuF/MyE
Is/Bwzhpr9uBC6oOZXCcEXeuAhpCswJt3A+sS63WHpgT6FtvQhhCzNclZW6Fe1Gae4wf96qU7yRl
xmdTHb0EWlRS3nXWfBrDQB5ZmbUmlvqgxQ81cmDBuMNqFbjz0S6BTpSmWs1ljFaKaV7ZZdSRIahE
D0o9Y6FB5DA3Fw+I0EDB6ue2KRDdqhev/NCt02yMJiKiWUT3WTTf55IxXc3OcmqC4d5P7lxYbDMz
EcdgLFYwvdddOuzS2fhZzzMrpYhwonImQLEQ8ApU91N4md6Aut7bsflkG69pon+YNrDzXOQnmaOc
kSRZzFYwbwFHKMp3CcMtv8bn/GwrLmuo0Gww0BPMzSaDcwtENNS7rgwACbYAgEdzY0+C4WCLXje0
oi3zaKDrSQW+QZo8EycivCVnCJ8atU18bHBwMhQN16Ch13Ph7SFLuYcid8jweGY8w4wQ383Obfv3
XLCWyUr/YRidF4tQJcYRT10uOOAqr94bmb4eMTmQAvJp1Uxk046SpmZrEyxo+KzDHO4Zx7k0u33i
diQQDoHacIZymabNbayxu4VFnZMq1O/aXB0rj1l94MZvM6Al0WUvQ4r8ye9em9Db5W3NXr70Kwqq
4cJC/DKNbA4wdug7drOkuPzQee+u8W/6666DQjzQfgZzdmhmKOMRlo1s7omL5cg+6FmAtLAptBh1
KrkLm2jfDyJZlaP1Pkx5u05IY8+C+MDZF+wL66nz7AxrJMVegr58J40Q6nB2GytyenPZ33m5eOid
zyaG8Oq54Zpq/b1suxcdk6ZYZxcI2dQ2/G9GsgR4G/aI789EGQCQygRwhlzYV6y7D0kEhcGbmaU3
5oGuz2Dutx1oxOpxq4vsKYq6VYgvZlXatcT+OEOqDWEJ5j+rPMHE2wWEPUT63Z7GcgFA6m0fWfeh
bbZ4vqE3NZN+6d7dQsACqdgmMWLsHMtcqWnJ3W5pufJyF/q0tMnw5Krqgr0h2ruuXrVzThxt9RT5
pJHg/X7QwkiuoiWmL89TbPeitDcdGSq7mnDRLSqZvWhbNmv5wZLtsGa/9TAHvuBmvVE1k3X4/2/a
FdGxJ9ulgdm5rkeE9emIcD+MSBKYgQ6Du3TuDbXkI5jn2JDDNmS8gpwyX3dF3a3hJyFXTA8scwiU
IXPloIyDKPvuDm4JC8S4R6FH8CvBt/DYxs//L9T+vxNqExD69VZ9jP8r+FH8DbP0LWo+ipwO9RfG
kv76W3+KtF39H4YxaKMVIzp4zIsS+0+Rtif+QzKmFgTrSYBhvzCWnP+YLoR6FwO+Lf7GWPIgJXkK
GYvperzC35hK/8xYgqD0VxCf7XqecpQ0hS355ywteXn/TVgSlhkiEw71CSVefXD8dkR8da8A4h9U
NU472GHhtWIpjLpEHvOgHGGwT1sceea+Y6v9X2/fnwioX5BPvwKf/ng54KYo/i2Fqt3i7f/vl4Nf
e9E9ZuokFaLbqQzLXSw+egiIN2b+5i1DF4V4Y2X05c0y/P2X2Ezv//BuEG/Iu+t5kvyH32IJvZi9
oScc+1SP/nf8Vt0DzLkDquH8hE4p3Q4aaXOPUhG1bLT/l+99eat/+yi4VLhWSGc0HXMJbfzv770O
hzDoEss+JdmgWJPBBteTRATZgQWGbvII4/JEFZ4UzowNNP7U6DSTIs5OMQaXPXVevQpCM8Th1cyH
f3lxv+aJfn0wf5DCXNe0iEz47TrBOdVPplHbpxQF7zZuqu+Kid2uqnwL8VBEtd3QYBEkzgoAjLGB
fjLtwMknvXhIC9ZqFKzVMLq7f35dNsaJ39807gboYEpbLgSz39407LhNhi7CPoW9z8Si8kciaBge
5r73k348eLLNGMVYiv52ZhjapL26ImheXRU1+5cEYzszUUkKqk6rCS9U6+wM0+/YqoGpN+Fve/hC
x65+kEUlVpNjM6YLIus06PGTfbi+64rvGpcZ/C77EM3UkMRcFK/sfJ8MQq7ujaS85SZLLp6Vb0zm
y3eaECM89uVVR8IEOuqfDfEOtDxGwVzHlccwdr4bWnwzySk7//O7Zf2axbt8itrkttKmaznascXy
bv4XTy22Qr9LA98GB1aYuwAA90YrwrwT3kbCM5gizYBp1lGhmRYS4lz4dAj/ry/EsnjyYFGxuKF+
u9GCWJppOE32iTUTeyUzvGSmL+/nbtyXon2YZpZv5dScbN8+tm12bF1jfPznN+PvV45G+I87BeS+
ck0lfn0vorasDU2I1Kn3w5+GOCBNpc1EG2p7HgDGeMdn9G+PN/m3q5WvqYW1fA4WR8JvV6vZxzbU
9dQ+SVMdxhqtt9GIhyJAIetnxg5HxnzKFOEULUKYZHYuJsDSurLkc12rf7l1xN+fN9qUwrGEhvKH
jei3i8H1pYU1xZInxmfnIhnkWXrtxU3nNYZq7950pw/lwD/PcidCHU/Q29znF3gD1G1gppEoltYF
DqFLuaXU1cD6Yevp9F6alLnFFKNRrBMfCklxxm5AEA4LclYqS75b363++cMUf39ya9PmHCMHgJ+I
369sJs7CJxPGPg02qXL5XPo3kNnlSo14Y8YYh9HCxy2Nxlij8LePaaO6rQ8OWxZldd/M82ooTRqr
LsmhmzhoxQkA2BRlyE5pkKdeCYNkiQDDeehtSEtEE9IxFjemwNmxx2fRoJlcKuB7+y/M+j9/e78a
qf64b21beti5uFwd87fbJUk9PWZJyXWTqOqAEzBDo8LLHfKuODGD7aDybv/5S1rL9f/rcaQ5jXCt
WA5liPj9/hhLty7YskvSBqGOZwyDb0uAzFaJidZTtbfzMiClYSrd09cPriCi4zOp8uxfDmXr17OH
gx7cpGc6UCcBTv79Ti3DtkirqjSuWj8xEBybDyzb0r2j2bCTgzMiy4nNXbmU78i55YVOg5MQVPzB
FehSvDTYBEEdPORWX//Loa1+faIur81xqcYkacvLBah+OxdLRKRCY629qhDwagPvjaVa/Jh9pjgo
PPTUXYwUBPOs6YjmhER9U2a+e7OcKwFOMCTR8LID1iunQdGV6zE6qD6QOxxjyG6Ux9qEyzjPlXMY
B3frUZURdtpg/RL8xXgiTZymANt0p85jlQZLNot1TXNUHabWxdxp+3dm4MIJcKHgN+qqrdntNLFr
7scQx4S71H0JvrN9loy7qkbtRHmUbKY5Yt8aF1vL6L0DdFrzFr26VRSnf77O+Ah/vdJY1KHDlg43
Lgh9Vh76t6ubJJOYgB5pX0GUSVkc6Cf2qPOuiLSx03l2IxcCcApsfcN4s0Gz5bKNQBq1/sMR/5dD
vjKhd0QuMSjmkvyVySk5xlAzv6C1Uct0ibLrNbOz4xwncLkxtq5CJqRXU4ys0XP0HWvsaJ8mkNps
bAcbCzxJkgiHtJUm3g96uK4CwnCyAH8gA4QGn0swrWtkdOt5thdY9EKTiQl7hzqw4GS+fj3GKTGh
npOvzBq0KJtg10XLUa/lXIZHkM097hdZnBjRI3yLyFkdxoPfDdM1gmnSWbrsJIaAtHah2x3lAZfQ
sARajxLvAIsXYsfudCuNPZpwDxzRN4Dq/XEO8/vCVfc818LDUhbVaf86RSOsxLB5CEVVklNgiq1X
GeO61Nq/ASyqV2Zm37Y8Q28IpCo2fcVGW5sl8zNr3ldx2JyzxkWTrQIS9OSiZZka79wGzLsLD2pA
o8R4ZeeQTyts6WtnxKlvYv24kiSUxpV4ccx0uYA7Yub68a3hEEYc9Rrn8YtUB6IHsJB3LdvPPhrP
jT2wKR/Mbzh1AqxW6q1jKUnsdiwQ7bGeLpga7huH1d3omAar415e7UgTZZ9TRvZR9ddRJ/UFGdF+
xu5zyutmnbae8zAEs7cqtL/D6dyy8/XRvszTU7zECoyxPODbD48mmYz56PY7RjMMMhe9uiwi8hXY
eG6ckFjPvkejY3YRCIwmfCWo5sZ28wPbuP7eQWfUDJJCvu3uddInZz/NUR8onzynGAJrUmBoSyrn
LrT8GhgthUeW1aiFNKltbpUyhE9/NroJ7o3e/+mbwt8Oin1HH6Yo3zDEbRqVzpc8eE5KIChoUDZR
l4fXrU8ai5hd92UoySaJ80sVD87JD22mj43TMTxyyI5KSe0JYBg+djDY2dXvO8NHi9lM2OvCvSrC
8dpQek1Ws0JXaxJaw2V9tLykXreOwcqhvBbVEpGSqvnAtSY3DCqoZyw+G+kxiApF7nIrpcMGq0X5
xxVe5+a2zXyuVEx6jLT9n15UN6diLj7BjMwrz5uL28EtrnmSkcAZzt4+YOO5Vo1JFHGHr6tp3g1u
jSdffo/z4d5LInEm1qVcSzrpfRna0Bnz/mIQjsoUtnpoZLAP7MG/bTFkxFPDAjhGIuPpH1HukjKb
1fWuwQRKUkJfHOGln5oUQYEdQ9bW5P3cTXH1ZsuxOdSNB5MmSN8Yoa94YHjXeGuqW75Bcibj2jn6
wn+zPX86tVnxkxn1cEEgZSKtlMz0+FRX+Dejx0BxheUI0K1oerb9h1ogRgi6zvkktGzuw/tiWSKX
LoW37cj6pskTSBVZdpWahO/p6qeH34BJW8Perq1ubAfbZje/B2Y+XOXd1GxVIot9EtUvkQmeDNkr
kr/XyPI3TaFC3LQLx81HtjO5XgJWZlgPgyPBoPAFxwI9XlvxCJwrBgDEhl93dj3tEcebWzPzGHWa
JBLmzL/PRWU817TDezXgUazZ+PIgKD4ySgpABMwhLau8LZOgOUJBP2dF5F9ECPlKzPmDOUKG1B4u
MWN+DdUkt3E1LV5jJz1Wvb2sqV5rohm6rGE01jhreqM6AKzO5LSz9DlyAe40/iUG1XEnGZuylmAv
hdYWXkzMbVc027ppaUMLYT3CJQlaYsA6S/bk2mVPtR2PZxZb/nNl2z9AgUyQzqaENppXgo1I3qUl
mlsQ7d5z55FFQmJAuonBvW/ykMk7h3V+iBx7NdbpvLL86ttIhYZIPKgPNVPZc9Z7j+GEtKNq+r0c
LfvGCDXQV9RP1dgASM7V9BicR7OnurYZYDuBeR2R9/Has/garDjA7EtPnY3q2DSVcexb65ZgCf66
3Z39pnEvxnype4znX81ZTme8YwzJW1bXYbmyXGjCgKmJXWLGTr34MDc4iQier44IXyPYKKu2yMet
hePyNCUzomoMwbXI+11GYPrWjJtHxlzOKcjcAoOh9+pnurgnBhE1VhuzkBkGrJBilN96G5VUGY9b
PBnZVs4JJ4RofsxsEzb5IPtj7oM0NOiGVoMiGiOHc0zPQPqvPWHbT0YuEnEHK5Hhp6KX8ISPB5nY
uC0WKpsIuPTRMcb0LJvz1NfkIwBH2aAMDybwpyXdYjneNi6GRbsM1mHjq3MpjCfMF/bKN3pyPIJA
7ceupI1Pas782jHYSfFM0YzaQQuhrDcdeSMGTPMJfjZRDd5L1UwvfYrgnBVVtxde9d3A/f4C0GBe
+xZB1iahUAhV8K4ls89wbGkuXHtoPie4NTwgI/ME25qp88jUqLLzn1kjw41rKHmGNXTXIvW5cRtU
Mh7km13WEd3Rt2T1SDHz5bwAZb7apSX7+7Sx8d6zergy1K50EI4a+KMQZyEimtnGFiGJOrlkIO1K
VINhAjRhGuku4XXYntHvoxnv6YiE0xhxyIh2JJegjplkx3HN59gp6qCC7t9eFuRL8FPlGldqHMtT
1AsQK3M/XPEcNnNaYs+ZHPpx7Nu6QMFtefqmLlgz94uoObbD9jhpyzyJPr0mLw/ZmZxeo2ApwNip
h5NxGRtSOZO4u258HeGWT7wtQvvruAL9GqOI34+5JM0LFMRGMEvl8Me01o55vUHctNTJiXvwi2xc
jJLD1m0EBADPFivMeP6ONJX4guPIEquqMtT26yuSVNjtSx1Fq0R9TwNrOMe+Z5JHhsluFuiFwhns
ESevONvplcxaiOr5pI5hmLtbv9PJZeQExwHbeNzvCMvr1CB5RLOcnL0fbFp/hkWP3N+1X/tcf5Zl
TLtrm9vcj9uN5ZnvuAoiWpKMrAWjv+2zVhEaRqZaKLxdWaPGQ9F1NiXZmLqjUbHb78Lwju14Miau
78wqf9jKegWlw90lNBDCMd5bY8TZYX8U5RBu7T576bD/H/ok4jFdkMZi6fuRJHq2SEpvqjx81fq0
DMPGUIZ7YNvsZtXPMZ8R+IkMZU73TQHTBwq909HobXDcBRRxasdaE6Lx3DyM3LIQfHM08OVr45bJ
PhutmbhJNtXV2B5xHPtIK/JNPXU4hUPrYlc1kadxczEEGfRmviNvrN25j/1AIFg9ymeX/58sPrah
nV7VmOhdFI6EzsFQTlU78VkXb2Y2vXVWfOgm6wP2DtFSrPjSh34agFa4aHfs0j5k9bPR4avJEiRV
2E9gK6hPkeK9RyOcbmOLNWGXJquRD6OwG0psDxNSUQq0HqO6nnoSaIaqLSmME/RxJQKsPDb4WCpW
mBOL+TDI73qzWi+KiS1bni2SIPZP5Toxp4i3B1FSHaHbd6pzRebNJkEavyBK6g1kUKpfdEJNV2B9
sZvNEBXXRWy3WzInHYHQvh7bh65ElJZWrFPZqxF0YNqetW4shDUAVG6DtsdvMY8Ha5E9zH1J7xGo
bahKmp22AT0H3xlNJUNxlWxLRJm0wYPPgph8PStGd1uNxNNg1N3S9MEFHahl03BR+LY4C26q5NqQ
yfcuMV9xJrk7W4963XYG5pn8xnDqfecDEeo9Huh0ahtqRHfnNVG3cW3S8KroBx0vUoqwRdvm55u+
tp85GPBGhp/2rAueSZzcgVNuqDuHjW04d64RRXsBIlPWiM7yubpPc4skIZhlYFzDHRX6Co/RMQN6
wCOUp5zDmtCofkyKFgMu/J7H5rfah3bqMUpSMqOsDAwL/ol4MEOeFlmGSBHq4MmOAW9kMkGlCMMY
+8PWKdl88kL3eSAx+Bf64HVlBCcPZQGHlrdKOwfzf/LphuoHOVicGfhXdgQXEN/kPEZ+NW2TKuQg
iGFgZCFs/SA4mxZ2cNmijujdfrHQ+HdZmVxH7nBfUgTz/GjBrhjex+LwXPU1Y3rWPsEOJxz5xou5
bCN79SAHe8bA6j+hs/qUZQaqpGNwniGLqquo31RiN3rAayxtsdcGGB4UHD9IZSCtdO8Su18aklDu
EV6T4Ggz9JoYQ+a7ShabrFfs84v31IBQ1+ZBc0jEJ5JELIVFr1YpSkjHQIgx/Q97Z7YbN5Kt61cp
9D21OQ/A6Q2cZM5KzbI83BCyJXOeZz79+YIplSxVVXfvki+Mgy0YBJOZZpKRwYhYa/1DVh9yG1BX
o3zuVKMSkLaDz0KQqnC3zSwnx4O5sBhph+DjtGnK+tz2jM71egczWb2+UlXOKXlgxLgQrCi5i1qG
YtsBdZc43QSsGuHI89TEJsm2rrIuqJemZoBEVZK9gftaJWq1ej5cjN0W/isE78iA5dYJuUSLNqbr
2rR/fA7LF8aXQjiuk6wC0aLvbaIJhoqv4Zcc57WFPgz3yJow1YPmSIUYh91qzsJw4ZGxzjcow8qV
Dn0bxFWY+de6CUCoiGFqeXi5rWrfPEQVs2uqGJs4scD9V5C5Np1fKVucmIAqd/eV8SlRmwfJiVme
CMtyobw/tku/1k9rLUxcohwNK0jlEFYtsmty0yylNt7rfbC1Uv8uk4vvis/w3FLOjnqHcNiAvmAn
5z6zHERLpKgd81JqRtTj0brE5z7aWhTSXVV2rkFvLZM66w6kQPsbTJ0V5FTGCa1BskTaVFYrw85y
Zh+8JBQ52WIeiHOqUEPyHP0LGU95X3kazr6q7S2Drk22im9D6+kGed1KGZy90YvdssRd0OpDFd2M
8tFwbOXMNPEfZRjeK+jXq0hurOUOcWlVzs2VrQ/ROeeJzue9ZMii88BPL7UxmOAcPR+vQckspGlU
GHXykIhKhmyp8lzML+cNQUkh08zMuIUGeBGbBJTG667ZdEkZnBeaFsusZrtxX3r9Dh+2ADCNODY2
wUOQpcE2Hyr/vFelrS/X8t6C4n8+b4zf94SNojv4I2aXvv1B681PeqJ129YcSDolde/sAl86UPPh
pdWXB3j8dKHYLRyFOkEZqqsiTIovGMYULRJuUpJuM0EeHKMRUqIFYqPF1RnfYvkLUfGwtFD6WQsr
dJSMVUTgVmFaPNSoH6PIETVu7XVXdo9HKPGPlevxuoAhkTtQzfA2VzBwF9gqCD7cUpfV6xbQLBzR
+qwy4A92TSTAODEDZ6ovLVN6MLCTm3SgY7FPfgxmPHSx9iaK/IsW4PwG6vqa016QlAEUNRHNOQoq
9wuqtPE6jNCqrLrxti61eyzIzSXhyXcsIaHi6SUPkMgxBjhaSLCJUkhpsUtKlER6ZVW7Wp+Ca1vp
DrWqBZeAaGJ0fs56PdsMoZATrM3uIEZKvBRwbgWrssNKXTuV/N4gIVLjD4nryBIyKW6+iWOforvS
HOy6xNygzS7qKZzOCz/JN0xSAwp3PDxeFOL/2EItgpexJIhWd7U8GKdJOj2MGPLdUL04s9QmONh2
KW2rAtD4MHqoTLWIANbVFaQxZ1uxtFhMqWLdKAaTiecr3VLCmP60NtKL2sA8O0FDcRulY7qN4xHx
xR7sP+rirGjAo+NcBr41xMJxQIJfkmwkNhvU+ro6CDeV2uWXMqmyxQCc10qd+uBF08pS+49pIPlL
yhvGoc6yGxONBNCV8SEXdPbSEpYyyDPZ4FFQRFPtDfNmvzHLy0yuLVQ9bOXKCK7jxC5XvRf6H7s6
PQfeGnzNC7C5A0k3xANhYhjaUlKbbsXT8jmXkmSbJpitJEMpAaVLqm1ufYishuG9H7AE51bRNFpX
A/OA34bVTRLtElXPT40g/1aVVX2hJzlk1s5GrWhkdlWN4YvTWXeTqsKLrpT0lFsPNkWKFNYw+Ah+
aHsWqvGmsnWTCEU3TwfIMhbBbQwf/awfL9VJs3gae39FSdJZOIUJAqZWPJeKYC+EDMbrguV947fl
KZZEH9U8lYHIJMbWsmLpYJfZjTPiICzlAtHO/N80SXrIU/InPn6goKD9j1Xh3UvAcvZmbl+PvV4d
AFx8UBJDOYWjjmQAOTpYadIHAI35taJpO8JtrLFLlGzm4FPNS3/XdOYZmSL/EnoFbnuI97ux5pcb
lH/ls0Lu5LNEj5SzWk7yBfVYZ13XMoDm+eD8mR5j+zP7JpsEqtGsr4AwBTd9H6OrQg2YhBVLABfT
REjaaXPVOXqzYyqE84a9b4nAlG4ccuH7npr48TmpnnULMJHGQWt7siMI51n2rVJI6NJEpDGmfIRy
laOtRviz7Xvz1vE0Z1tW6bi0QKmbpEU3RV86iJlQA+fSqWupvbwrIsLnxFOhIUGqpB9fB5PyCTPG
qPfapZbgbq1r8aGW5Y7fIMh5DAbJBWqPom7G0pMBSyYOXVXVQgt5GrlaBjk1XfooTwAAC7d9hJto
mgcPIVRxetJS1TNB0AdCHBrZOtWdZVtdOARkMFHHBKncOPimmULCXpLGPebdbhuYzhaOubrXVcC1
sn8HQGrczxueo+tJj77pks1Iir8Swy6plklYzrQ9Oft5DyUXcvgAwOtVRt4AB1If7QKCfhSkPOCr
lolYaW3QKolNSjOY8n7fJYDXTGU/KXV42nWiKEfc3zfQWXMExmxlYfQdAnf+ADWkywDfF+RPbO1g
ZjwbMkOz7EvD2gmUXaoF1gLvyATyOEGIOpo3Y29+q31oO5E5j6/KbV8Oxga7pqu+gt8+MFyvBmO4
CCOfnFSHMGtNM2uoJsJyyggnGb9qrSf6b6N9oNWs8bQGrmr7iKjHsLP0+hSBHWpVLNWXZmqg+Ek2
uvTz70YV47umOluycJhDtfq4je1NWBDyjSZI4aytkr1dOB8KZJyuQqgNtuE/tnqJqM/IFQ+GFK26
htGRkGwhJ5V/ppgZONoUtGckIWNYZLBfQT1rW6JYHx+2RcnIuShCb9wH5YDpdpWckWiKV3KDe5BM
KgKOhXOndZKKF7l0Mwi+mgmDVoKY61gk922/8amTORdyTILKSaovHbEk3u4k1hUAl1ZH5wbmjxYS
EuCDgQZVLcfrNklpb3CPY4/oI6medTqq456wE5R7NF1qCkSZQRAKgo1v6tcFJS3XmNpyJbUAS7B3
NRqIKm0EIh7xk2CTStQxDKCCEWsSeZQAuVsTiU1J+xwqKqZGCXJjeoWBxKAsKd56sOeTDSUFCMDI
Q63U4RupOVTuCJ0qk2Uo+UXLJ96xp/JBJkmUJhYp3FKkfIa0WQWIPcRqgBPdFT7B+naK5UsFZfAN
yJmaMjE0/lTXdgAi0cKRcFHL+xa780pIG0SrAoLVimRIt8jCdBlMcn7amS33JrTTLJxks8J8LPUU
yQMnvtKIswl8UP8VCgVMDGsfFp6t6FvP8D4jXYbmr+L0yEAhwZPGEzJ/jEsIGg8hPPzlMBJXczKK
KbEKd6nIr7rY89ZKAZoewSnT6bd54HjkX6/h9yfLRvUeKlN6xKo6WXXwuxcs/L6E4HkWksPiWk8o
pZUWcVAYWCCwCx276vRDoKQ3smr7K9/0PvepOS2jzsYEtiJL0KNRREap1zdVRp2mSa0tYpsrJ9Pu
PN//DB8W0Q1tLNzMRN1lHENlmTshowLRahDmzIkexVTNW8KOgiWbDUDaidvrWlPPrTG6a1DpWPVx
dR1V7bdpaOiK3/uQ1UJJ2UkN+wLMc2ExUqztiKRIiMqQ/GmqQlL4IdzdJIaOWwAbRwwxXGGABZsA
fD8BvDn035xCpDioSKNXELtRVaZQQH2W6aFrRvKGijAzXjIAzlLGg0KKYg2M7IMxoGzc18mdYVYQ
PFhZLWCnU1UpSvQ2cbFZxol5NUn6l1HuTMYDW8UrFGc1Uwdwq2pg++u6X46ezmChie4tfTeiUV5W
VZmszBEUK8lpUh7Kaal7CKtpI2P8WD4AEePxsOsH2avV5YCjGxDhoFiqrYKYAEkgbNNdONcynFgS
GbK9Lvvpg5TmV85kbxCTb7Z108v7sujKVQHi9xI5uEgsJEl+IXaACPraI6tNIQ5xl42vRDcDIfwp
mH4N7NxyZOm915yINanpwAtSEmylehM1bbPU90aIRKReTp8t+AQfojAwLsygu2g7x79Sa2/rGH18
m7g2hdUKv59DjxYzieUi2qgS9eReZhGf6mN32rO2Q0s1Xws0vmIWB/DDmWN8wK/y3kQqFHqOtS3j
xroo8nbhkKdfT2GF/0hCYJGqhE9KnVyEU3eattpwk1IyXCRZczv5knca6Jl90NuA9RXmjJrjbaZW
dzaFxUKpSOuIlJNGHIxWd4vcKn2xXOW1STl/RIqQugH9r1U+JF4/rGB5Y7aN0Vqn+zfGFD62kkYq
J5+yszQfzo3W7jejiqe6XKTfMrjdW5J49RYZq3sgW1ASCk2+U/3Jc3GVgrYW19sixMU6tksK7sNl
xoIL/1kyL7rzMRfFDg+pOG3IP6Z9hbk4Sl5bVqXf1Jy7yWH/unaaUjKapnrTRBZSvg1y7rmpXMp+
IW/QRRiWrACbbVhIa6VDLDIOEeHQES/EYBjimOM6pJpgW+YypWCqROjaV7eGnz3kVvtNL5HsaTzl
zMhNNFzCbhuDJtlVNjIvuZa4SZBrG1VJ+pVmMENTQ7KXdVBYrCagH0BPl1F8tBM3a32kNmS7JmfV
4uVTal+pRzcu5cErm7EYwkkSuaNZoh5TV+APswafK2iD2JkjSoydy6oiexkaBRWuQb/ylXRjakSi
aRnj4VwtjZDRrdVZ/IxeympLLwH2OxDX8YrewIK8bitD3ns+9GcfTsAKYKpbl+lZZvT+Bk8+DOOQ
cOskC35q1lKWpB6OLjAkc59J1wtGa62F6mev45cLAEdgFwqveYh3MiOna4cURUnoxgZiIlNHb/cW
ATLrZCFZQ5MRRNyy3uLEGuw1FG2Zzqlnor4f3BWt4KqwFMmp3LgyuNRVN8XkC6xuZKrBxBwhXmWt
ysDYkVsNKbabxSlsL9iizS7rqk+VleIJImqDuoxqg+FF39GFQMGg174OBuz41p72ejISoZe+v2zq
cQNhKDlUMaJc9qBbyBUH/k6SYunGKzd2bCyr0KJiqIMdMZHYdbNH+JOuPxT6IW8GcwlERV9kEvhP
01C3Bdao/EoXUsZSVauYvEHPuHqA3FBrhVTPYLcFvbNCD2aBokrpBmZBDw3gnJIGhVeG9oA3KGDN
SsLrGp8B9NnbHZxT8mmERb5KSVwCp+SSGydAsIJwHaYEn76lr5CidvY2CeNLQFSoUqHsl4fqeYIU
DfQUVnCRWnobpVRW5id03BWIVMQyeClzxugzUbbN7OrIyIYa30vsLlfofAJDCbdpmPpUQEIxbdQg
qZ1+zwR63iUY0BOWXhg1+qGSUh/UCjfWxPSB0LbFoTOrsw5S1FrL8abt8uS8nBTiz0nBIEfFzbsB
S76oxqFbmt0Ay8xHZnCSR2XpdeUHa+RRsaXkA3QYQbDoyZfL9elUByrk+4zZvjOm85aWA0/T7HWL
ry5qeNWTY2PCO+JAnkEDBRez9dVmqzmlSoQrKS4JiYrSA7Er4m7NwoLcTMcGdlWjmolgGRWUESpe
pCAoPEbWeNkbMotOr7ZXdlseQC00q0yfLlH6q1caUZirqgXABqvJXKfW0/MKu4VNN5oFuvkWbJOo
IQTVbG8fd3e40dYy0kk5AnyDh+Iewlw3KINai7YttbWqk3YfByo5RUfNxE67ax+o4E3qqKdxRbuV
SoQ9o4xk99Cuaqn7GNJ8rgx5Hx5VtYx857QfnA+oCH1V2gCXkgoxiDD6cTMf616/MR+TEhmdVU0b
8JqPpZVeUIye3bx9rFYiy0B+JRS788F5U1p25Na1ib9ulVWbHIimVz77zkiTgg72/Prl4Oz4XjJ3
Jay05SeHmtqjnwWIHS5xFyX+7oUpA1bzaEmJs6XZdOrlTJPxbCA0f3MwX868K6dZuoN7wASCb9DL
puwE6ffltTWyDg3N6NuL7RG87esKlvNaR55hI6lCBQMhlZcPyMIkDJ6OjWgNDkKznw7cM7wH5915
M9sKWS2+IGjJsKw3nyzUU9HsPY9/gsbddvYzoqx6U8Zaup69aZwY7J5pkgoVXkfzod7W8nXt6zd6
ijRQbGAS7MdxDpnZoRIs2FmbXMOLpPMos6L9e29OxsP832ePmkK3kcTObmtdI3uCoYmL5Yjlzii7
/3VKvx2Lx3/+4/4hZSgM66YKvzWvyTjQNeam+isKz5jzX/0/+T9PBB5FxgldwKN1Q+ZclrA7fyLw
KIrCW/igawCadBCMLyYLxgkFHx1MqECF6o4K5FGMRME//6HLJ5BLIJvJdBwZaK36P+HvvAaxGzJo
WEDsmmOg5833aAI6+wOgX5lUapxOiQR2+SmAqiuEYaV1NlA9uZTTfwOynslAL5DgP37bG7Br6Wty
MfR8m3c2fh+6hXmXIy/LeHFlZAt0TI2PWDb7Z5Q6bjET1z8Vq/AR74adDsIB2XCX4PbQ3ykHEuA7
dOlFZgsc36phIfhvUKUKyehX+GUuFkQ7v5uqaTo+gMZbzPSo1GTzAAOcWbVMUqGcahSU2KBajoIS
Zch63/kB62ecrkDk3Fr1NOykdMTHdHYEaxSMwOY9BmisWwkuloFqKGBwULlRW2bWedMpE6rduvxl
Nm8idz3sNSHkn0boyM3HMg/GLMVbPG4izFfisA5dFHDB09ukHQghn0zZ7DpAeoE1d7TSARMdLbR+
MGB7McEifMOYUe4uM7vsj/ZZpoHbTa4U1Efxddu/bGbjMhRbTUyb83MwXTiYiU1aecoGHKeAeT0d
qhThnDdZTPg0kgP8lcyYLCwwW0t42bVtEZM+tfzjnGJYvbrNWPHOg9nR8s2crUDnA7Ml3KR3Icl7
vIx6u/IgKXbrN9Zvswmc8/sQXles0RR1ZxA7ElAEDNvzMD5vwM6UYGqlYglOF4apmI2YWKu9NTtx
vbzOQYivksH7WCblFkSbSsoMsz0EbqgCk5uVQ3zy5kPNJOHIZauaiW94+NmWsdr0m/i73UUlyFde
zYfmzctLpYw+GXgRLiShq/UyF5AxHOBPiEltHtztyj9YNeDql7uc97xOE/oxQudMtuNinU7Rzcsd
qrMB2fzaaoSHq4zXXhFI9WqeW+2hoJO+3Oy8p+ik8nkcEMho670kP1vghWXebTp92pH0pNxsGXfz
e0no+buadWxHHR5TXngRA8xnIjfhr+iojb+22/zu+FITxrfjRhU9wTBwtpv35t5Bolvd9mQc5uPz
IX5xipcOfd6fnZFL4bVaAmOeXCVoJETFMJAefMlCz7Q0KMHi7iwFJSs6DROSPXBEdv0Mt7RwQrFu
cMIB4+FqwGiPqmSeTVtLXMPcbTtxzce9qb1KDRauP/TXAszeEya7znMEj73qbL6afL6k3zezHx5B
JpcpjnlCaDLMJwNnYTqNZzNUpISl+/nlvBnEGy8v33wE/Wq8SusRG9KctZA80kNJ4LB+opxkbUwH
TUWHrju/O4m9Ny8zD6QHsuloQeODDGsNbIJGII1mgzihicbRqkjaTy+nn/caqKrbNumOn6JqzVM3
jJFb6bQXuZ9yP4rNvDcfI03P8J1VIWJAXSBAdHxwUlqfWMZJVse3f/hkIz9KnZQCqmfMwkEM622x
B7CsqD7NuyO6yWgOiaPzprSN+4Apg0K6cPh9eWP+3+XLwZezzZ/BepxkQWZHy7nl49+b39RJ5KKT
e90KN83yaKwpMvi+IYYotBQdrKTRq5xvzaJGdLzf+aZV4drp+DLGMuLGdRMl9EUw+4Ue3xeun9Tq
P+bCB9SMtIMnjEHFSY6fnT81v84V9enM88v5jfnY8XQ//J9M+JOOfXKqEFpsNKxLIQTwkP3ZaV6O
qb0wQ1Wr5gHcOe4yTgNdHElFu8c7Favv+/lVJA7Jor8i32zCPeRlLyxh572Xzdtjs/urKRxdJVoj
nU1e589kGL+OswmqONXb883/7eWs+fz/Xl6//fifnAIcSSA7NMOodm4lq98pxhQrFJervUYxxxqK
ZAva+JPugTufzYbnzewmXU5I9CUSiYtNBwgEpBieZxPkUpdMGqWBZgRfJWKkeWMTJ2gR+hlHSUkx
JM97L/7pL2+QdX2shXM1Cmq0p3BOz+pocCMROmV9I/BFvdouNJ8M52xcPG9U4XH58vKHY2LWq1CI
ZrxKRLcnvUn8SVY362tl2Y6lSh1pQiu7TNeqo+/spM3XBKlfaI5uJymoAJhBskExasDbZm/IaceY
3t3oF3ocx8fvnF2Tj8bZpZ7HyyFOLfIhTr4KDZqnwuRqNEoLJAKajmpDZWW2CO/SGtHMeXcWzZw3
+NEYi8D0CczHfD30o7ctum9zAxmgnXO0MwpofyQmRIvMrWSKAAjELD5SU7Txa4zO4S1/b4XHISZH
C5Qr7ss68NdQaWHH1iN4hiWWjyAL/Q9BxMNbixXW7HftWC0hZFd412HeCU3w/NgdoMgn22qIuOBa
mpxdrx56hSmEcni9ZLF0ZSrOXcNadxx9VBr607zCKbersYk3sB0rhainImnKcTPp7QVV3nhLVWqL
AqZ9XtgACtXpFuHKbo125r7rcRhSWODkikVODp30ysusq0ivCldtqNXAP8QJVWzEYLufvalfjqF1
2IGSwmA8iDBwnjfHHjDvhmbMIjjuOzcEE0e0IZ1bgaWSMSQNgJfMoQdD5Voqqd9mEsD53r9oBkOU
EMGzDCrrVrO1LswpgSYroy2LYrTyvR7klIIRQ+C8mS3KX8yr0e1QNpMJXCDXH1D+uMxAtuBij4zW
vFdG6UCiEPemAAmofcodCOopv8wPrx2ZwQ74hjgcY112fM9m6OiMKtm8HJo/cTxHCrGEn81sHETk
c8OtxdxSik2Cm6coAbELmIfkZNg1S0tvWRHJvQM/Yf5oEbPamD807w1i5pr3Xt6YP3f8L5g9PiSi
cDsfs8rS2diVvjYLhMVtsZGnjITF/JrOriD/laVL4nccmMXblqTzdlEdulExdvOh+c3A71sR5mOs
K8U+IlBcXtLCq7FseVX1nr3LWuNy8Ex9TU9hSleDXQIycdPDTpTd47GmevRtv1qh81yCteJjRqpI
S5mqxKIRL1/eeHnZXxSscEFwUvTCgJKasbSkAyhQrjaK3Z0nGx9otHaqOCt06/qP2aOtpGf4ReTM
jhsAdbfJOWHHNUhWBzUb1NeuR/SxB7Ls4HYXqndKpZaa5Fhd1/2hCtHhpvRNNmo/dnetet/hNhfE
G9RpYnUVxHd6dKFEG4GmlE7JH1rRplF5ZjaWcmp39QLtdCc7gPIqhwMUCECxnoNJwGkj7WwHaP+V
LwMHXPrhLsZWcszdCngy97U299nBdoE9UqRuvk0YR6zS78Ijttm0gCSlL0I2lPu/aawdkniuPF6A
00rjjypggmjhL4MPsNXLr4DpcSTt1Ns2WAUpgn4uYutoiqkoqa9FclnbWPLaTHdU7v1wTRax1C+g
skUfquiylr8mZ3BIFwd8Ru/tRXSO9SaPqBu60x52jBt9GQ/1ksz0GsE8YNMrHFFRNVugAAneZTO4
aHk+YGC/6nfxJ3lZ3JVLezls8Z8JLrRtt0VScxFeWisTkfZLgs5qgUruMj1TtsXXkMCyASyHDvkK
abQkXHu4BfUL84B5R9GuFVbYzTJHUnP5tV5oF9kOZPatCcVwFV9J5/7j+EAe/nt+KA/AfAy3WqWf
MEcjaW99aLKlca7e1p/05WOznU537Rdvx1VB8dngr3LFM4cWwuVeG7bWBoPRUYfbsMpzpqwllVtt
k6Urs/zURNswuAaRQ8UWxhTkUm/tgF5OUoDgCKVZrnkzIbvcuPKDnl8FKC99phYmySsT88RxiSoV
RoV9ux0Ia1HDtxYRyYFhjx8JDgkgQwoFjfrqS3V6sK4cbivbmS4YqGFv41KwCndKv5S8j9q0zf3N
BAC3W2ByZn3ALMg7BFvnSl0CF1kPXxrHRYbz4EeY7y1jZ+uHS7TwxpskXpoOTIJt4wCP2kU1JaZr
6J/ZPWLy8rT+jLBHpF5lMeWA834tfyskTI5XiLHLzBC4UADB+Wo9wOHserTyKF4sLPnUYyncu9qF
4iziu3J0T43bTlpIp8q6WOYfjYeAeRDIIkYDzsG79gEPfu4yd/Tc5AvOZpIm3tSplG1hZt46xUHV
t/IBA/qr5IvyKJxb7YX8Fc5Nsu/uQUZG5UHJXVY/G0hhhev4wAdAhkDgcMEZhgqR8kL9mG0auMVg
He7Mr91Veml/KncD+goUVIBcHHj8pW4H1LO/oc6beov2wXerR7TvdGWVmS4KrIOyTvI1BnFcIaen
ONbgZXGm7bUrTNZRDHRSADuL8FE+6++lb8mlvspdgrRb9ZP/EN9SUEZHu8X5YNG43nn8sfwIjOYK
aA3ePqv21ECt8jzf4rM3fUp2+vndeG3cSFvtMnpEu8nyUR5coKH1nZSfuR/WEJCoNY2b6gOQzyuE
Gk7lHQTd6k4NlmBvma129XJY6Cvpkwyibk1VftEu29sQ84Z8obhEBdEIZmBZKkJFCvFiOr101X1J
d+CRgDdGJoaYC/mAs8DG/6grexK4N7m35NbzVQpseYHi86Zf4NG1trfZlfM5Xjp3KFUtp238BQbc
Sirc0L7QKEEDpnYZNJc+atkuNBmU8Rf5gceNWvG5tiU3bHykHx5wt1MWpL72mH7w5KsQVM+jAL/H
NWylq2/e1j8QeW6z7cSDCuTXvsSRdwfVsKvWuD1PjICaKwMmWJY3tOmuOcVbL14i3J3RU/0tcqM+
KlNQpnmsL2E0gW0ZwMe7FCxIj2v0fFgy5xaYDRcXoHrjkd7Z+CsKd5voc3+WVx+IvSLk9TmjszY+
KlT46HuoNxzspb8rD/Bt9uadzjVvqDRuh9i9gD1onaIKU2w15hQXuxjL9UlHolUWrR7Hi/jg3OuX
8Qf/zN8EXzP8cc6HJO3dl+nPzkoSPvMUqTFspJSrtiSP9jKlok2geedQ21BOFxGOJ/SxEY/FJ63v
NbRTRKVAtREjI/Ev7BJ6iKiI9i01MmB7ROSQoxd7vohK5r3ewA1re9zFC1VeRUl3GuswvUPxmWSO
bv76f2voz7llrRKUNEa0zFvTpbZcn9oWlKDMwuQicNp9+/smquR2L2kJ+qVib36jrosvWBMgR10i
2ej0FST4aVoHkM53NZkru6f4NU06I+W8i9ftBAISs0HL1OFS1QELzh6EBZJyaKBSuAYal2YBIo8a
OYhofu1ZvGVpyXIErLo1KyGaLwsFeccmVTTvNYEICl5e4/FI9BHIp2aHFHWBqeBCFYL3sthYVLOP
ey/HFKfrN2nVXnpyt8RZtXbNkR+Y8IRIt8yUYjlGirTx/AsfiZq9jYMBop2ZskM1st60Yi09b5rY
OC9HSVn3IrvwsvFFxvPlpdojEBB08sWcZZtLSvNeBZaQAeH3iheYypDycBWs5pqSqbYuyoT6dk4H
NyIlOO/NXP4wVuVtGjgCzncDHMhb2w6pqWLoYnRUmSa8tsDDHWGXta4xHrd3Qzn2uz7s4YMNzuYl
gSTbWeuOsSkexrBNsTBqpn06kYnRmopRHSItUApWni0E0MFoteNLuQ9BQ7BUcjrvlsKqvA/SoRee
JsptUdkllUY6AnWAYe8og7bRQnvrT+IXr3TjYzoW9qpLADi7kcjX6TF0VwthZcAdHZGK+OVeNi/H
wCyOO9U7ZL2CQWJXWSyV2nxcjnpJPbo+t4h6NMszt51IxM0pOmE1jccTJkKhyB3rtUimHJPHL8lk
Ve2+GAagPlnKQWohhL/PxuaU2DdgZC2/jk0MyrynaLLOa3ikta0QubGRUyyfZUrHdQXmfy6xzT/w
vHl5ia5MyE0SGMqsyeefV0EpXkgZKwRGJdLDxdjbi3G0SfKUVEaJJsRG5JCNouIgehPL1IH3iNSt
5/5Q+5xrhMfXtjykR2mV/2+KcU83IuTuwLliBX3VPoKpfqzbpPldXE68ewkArLnN/96HnlXr/vxE
vz3+oND3LW8hIHMFfpi/0tqjw78p7s2XNF/vvzpDcs9ttQ9UDjXnBCSAgQQUxSxE7vEamo9LjkMJ
D7k5pKGo1/GHltN//ff/+aFt/uru//WNHZvxX3/m1aX/ZW1T1dWni3qpbf7F7b85xw+3b5wYtqbr
JvWx+Q99m1etYNE8c6HSOrYCVbZfqxWsWbOQa3pHI9iUZG0DtXH1TxtBkWklofNj/np9QKHy+589
An/dB+wTzaRkIusky8UfJ3zVB9QTnbo3BDz048QfT8qv1Qe47uMv844+oJ5AIdNV6sjHRuCEPzaC
jY6njjyRKkO/n/9+uUZAG+y9PUE/YUhBPE1B4078AZ34sREE4IFGMhy0SudWYrT4tXqCqiGR8P5W
QGgMUUn9eJOib71qBdk8URgUMaH75e7fMJzjCP2OJ8E6UQ0dPTNqjs8/8qvbV5wTE4Qk7YOOofj7
9TqBqRx/mXe0AkO+JlTJtKfp/82jYDknim3oiqXYx1Y69rpfaHkAjUT+D1dHfz01qCcC6G/b1tOo
96YVbO2EcENDv/OpFX65CdK2tXd3BVaCsm2ZqsbDNf+9Hg8s40Q3bVMHI3Z8+zgM/0pdwVTUd7eC
fYJYKv1AyE+KP07447DgsIqwWTGzmD62Al3l15obFAW503fODap9YjgGay6NUe/H27dZJNmAA1Wx
WBZ/v9yTANPLPl7UO0ZFwIu2gC4ab+ZERzmxyfezdHgaLo8jzy/0DKgyv887f32NQMFQMYh/8+Nb
5oklKyydEGid/365H591kfLeuwe5qrDocQBVHrv4mzjB0k9MC+tp+WlZ4Px6fUBjdHpvH3BOUHkF
a6s8PehvxkFFMU/w2gKSaxyb6Tjw/kJPgmag9f/eViAvQIfHf0A/9oU344Fln5jopZKieOorv1wr
IBivvnc45ImwAfs7T4ufP8yJlnViYyMgpszjuAB8+9eaEzUW8cjtclHvmBS0E4R7UVljgp3/3vQF
W7QSK0Six2Mr/HL5A41mePe4oLAKRGOU2zy2wptxgXyiRvqAvvC0lP71+oKBYNc7+4JuneiKQj7V
fsoXvgkYCEpOEHrWf082/XLjAqwNoZT/vieC31rVQADJL2vhHxeLcx7FYrWkmv+DZ+E/mEJ+z86D
BU0e5rx8+Fj/Wfr+rz7wPBD88f2npPTu4Z//EGn3Vx8ULJzjd7+k7f/7VVQ5J85/ePM5kT5/z9N/
f7rBP371q+96vqvng9vwsbqvvgXj/Mb4dJnn9ynZ/f+b3H+9T+9/ZPfwdDI+vVzJH8hDv//y/+bE
dfzmvMLE4t3nrcIpz16feM7rvf/E8X2GJvDzJYqfUYE29Pz6T3lU/1FTuMinfcfBLHx11cdE1Huv
2s2TvLp/yJ+vUlz1MeH//jNn2eO3JvzWNq9ODpvr+fXfb5LlY3Lf31ePz2cSl31MRLz3sp85br/l
33+jcdr06+tmF6vS52/9+9cPuqcKH179nk/B83uvf/OY44r++szHPNV7z7ylxcPw+d7n7q3Nllrv
PfHu4T541QEV3VJ+whCC+HaIffnrJ5KJ8Sf0v132EN6/GUV07KyeW+fv94xd3r/+8XRHRNXvbePT
P45Nx5TVu0/MCdpv8fh8iXO/EMuP5wN/vymETXz9h2Y+Jlnee9ln92H2avRQIJj+hGs+u6/G5D57
eL570RxPiZH3X3Jd3+POWz82zas+jSWP/hMel7PwG85Z96/L/0QULKDefekhc0GdN696tkpk9BMe
mLOwrsW/ong1NqnY2/2ks+dt9fbUP+XC86x5M4Zg3WI772/u88ev1f2b1ROJQ/OnnLq7fz1vqceU
z3u7yPlj/9v2Pi3qIHw9rXN+USX9GeffP1b14/h8rvnRPGbtfsbJzx6H8NuraeypVPozTv4ZCco3
120qzwf+/gh7Dows+M29r3JmytcPpzZX+N597fMXLO9hD749vUqG7L2nv0AK7Pks88+p01ueD/z9
ZrmIE1Ykr6OaJyzQu68YIspbhJXxM37Ky8csq8eku38TJjxl4d573ddB/vD4267+w9wmMB3vb/Eb
Id3wpx3xKX/23us/fsEfO6I4/U9YD97S+o91/fhqSaFpskrS672X/v8Ukgq8pQlmDCiVQwfTKDU3
tCQxA8VYyLgMpcaGpRblAms2FJOBVTEV6uKwTGDPBi15Q4faKXV0eCKw3slLB17Jgupu8HgdxYan
FpcoYHW8mRE1OiN4L0lGWuSJMlyENACHbxgmHPfpLXhNxjbSBF/biTn+BFuziU0b6uAaSEVyTmpi
kR0AAAD//w==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119749</xdr:colOff>
      <xdr:row>0</xdr:row>
      <xdr:rowOff>152401</xdr:rowOff>
    </xdr:from>
    <xdr:to>
      <xdr:col>4</xdr:col>
      <xdr:colOff>446755</xdr:colOff>
      <xdr:row>7</xdr:row>
      <xdr:rowOff>93690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511" y="152401"/>
          <a:ext cx="2169547" cy="12164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1672</xdr:row>
      <xdr:rowOff>15875</xdr:rowOff>
    </xdr:from>
    <xdr:to>
      <xdr:col>35</xdr:col>
      <xdr:colOff>38100</xdr:colOff>
      <xdr:row>1687</xdr:row>
      <xdr:rowOff>44450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29</xdr:row>
      <xdr:rowOff>28575</xdr:rowOff>
    </xdr:from>
    <xdr:to>
      <xdr:col>11</xdr:col>
      <xdr:colOff>723900</xdr:colOff>
      <xdr:row>54</xdr:row>
      <xdr:rowOff>38100</xdr:rowOff>
    </xdr:to>
    <xdr:graphicFrame macro="">
      <xdr:nvGraphicFramePr>
        <xdr:cNvPr id="34" name="Chart 1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390525</xdr:colOff>
      <xdr:row>58</xdr:row>
      <xdr:rowOff>0</xdr:rowOff>
    </xdr:from>
    <xdr:to>
      <xdr:col>20</xdr:col>
      <xdr:colOff>676275</xdr:colOff>
      <xdr:row>72</xdr:row>
      <xdr:rowOff>152400</xdr:rowOff>
    </xdr:to>
    <xdr:graphicFrame macro="">
      <xdr:nvGraphicFramePr>
        <xdr:cNvPr id="48" name="Chart 1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552976</xdr:colOff>
      <xdr:row>25</xdr:row>
      <xdr:rowOff>152400</xdr:rowOff>
    </xdr:from>
    <xdr:to>
      <xdr:col>14</xdr:col>
      <xdr:colOff>289611</xdr:colOff>
      <xdr:row>40</xdr:row>
      <xdr:rowOff>95250</xdr:rowOff>
    </xdr:to>
    <xdr:graphicFrame macro="">
      <xdr:nvGraphicFramePr>
        <xdr:cNvPr id="98" name="Chart 3">
          <a:extLst>
            <a:ext uri="{FF2B5EF4-FFF2-40B4-BE49-F238E27FC236}">
              <a16:creationId xmlns:a16="http://schemas.microsoft.com/office/drawing/2014/main" id="{00000000-0008-0000-0900-000062000000}"/>
            </a:ext>
            <a:ext uri="{147F2762-F138-4A5C-976F-8EAC2B608ADB}">
              <a16:predDERef xmlns:a16="http://schemas.microsoft.com/office/drawing/2014/main" pre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155575</xdr:colOff>
      <xdr:row>8</xdr:row>
      <xdr:rowOff>79375</xdr:rowOff>
    </xdr:from>
    <xdr:to>
      <xdr:col>12</xdr:col>
      <xdr:colOff>460375</xdr:colOff>
      <xdr:row>23</xdr:row>
      <xdr:rowOff>60325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23DDB7C-5E31-D319-AD0D-9B94123CDD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2" name="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SpPr>
              <a:spLocks noTextEdit="1"/>
            </xdr:cNvSpPr>
          </xdr:nvSpPr>
          <xdr:spPr>
            <a:xfrm>
              <a:off x="3514725" y="1552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33B1F-67ED-6442-93C4-5784810CCD01}">
  <dimension ref="B2:E16"/>
  <sheetViews>
    <sheetView showGridLines="0" zoomScale="122" zoomScaleNormal="125" workbookViewId="0">
      <selection activeCell="G16" sqref="G16"/>
    </sheetView>
  </sheetViews>
  <sheetFormatPr defaultColWidth="8.85546875" defaultRowHeight="14.45"/>
  <cols>
    <col min="1" max="1" width="2.42578125" style="1" customWidth="1"/>
    <col min="2" max="16384" width="8.85546875" style="1"/>
  </cols>
  <sheetData>
    <row r="2" spans="2:5">
      <c r="B2" s="3"/>
      <c r="C2" s="4"/>
      <c r="D2" s="4"/>
      <c r="E2" s="5"/>
    </row>
    <row r="3" spans="2:5">
      <c r="B3" s="6"/>
      <c r="E3" s="7"/>
    </row>
    <row r="4" spans="2:5">
      <c r="B4" s="6"/>
      <c r="D4"/>
      <c r="E4" s="7"/>
    </row>
    <row r="5" spans="2:5">
      <c r="B5" s="6"/>
      <c r="E5" s="7"/>
    </row>
    <row r="6" spans="2:5">
      <c r="B6" s="6"/>
      <c r="E6" s="7"/>
    </row>
    <row r="7" spans="2:5">
      <c r="B7" s="6"/>
      <c r="E7" s="7"/>
    </row>
    <row r="8" spans="2:5">
      <c r="B8" s="6"/>
      <c r="E8" s="7"/>
    </row>
    <row r="9" spans="2:5">
      <c r="B9" s="8" t="s">
        <v>0</v>
      </c>
      <c r="C9" s="9"/>
      <c r="D9" s="9"/>
      <c r="E9" s="10"/>
    </row>
    <row r="10" spans="2:5">
      <c r="B10" s="11" t="s">
        <v>1</v>
      </c>
      <c r="C10" s="12"/>
      <c r="D10" s="12"/>
      <c r="E10" s="13"/>
    </row>
    <row r="11" spans="2:5">
      <c r="B11" s="14" t="s">
        <v>2</v>
      </c>
      <c r="C11" s="15"/>
      <c r="D11" s="15"/>
      <c r="E11" s="16"/>
    </row>
    <row r="12" spans="2:5">
      <c r="B12" s="14" t="s">
        <v>3</v>
      </c>
      <c r="C12" s="15"/>
      <c r="D12" s="15"/>
      <c r="E12" s="116">
        <f>WACC!C14</f>
        <v>43.91</v>
      </c>
    </row>
    <row r="13" spans="2:5">
      <c r="B13" s="14" t="s">
        <v>4</v>
      </c>
      <c r="C13" s="15"/>
      <c r="D13" s="15"/>
      <c r="E13" s="126">
        <f>DCF!F49</f>
        <v>61.499808026015856</v>
      </c>
    </row>
    <row r="14" spans="2:5">
      <c r="B14" s="14" t="s">
        <v>5</v>
      </c>
      <c r="C14" s="15"/>
      <c r="D14" s="15"/>
      <c r="E14" s="125">
        <f>(E13-E12)/E12</f>
        <v>0.40058774825816124</v>
      </c>
    </row>
    <row r="15" spans="2:5">
      <c r="B15" s="14" t="s">
        <v>6</v>
      </c>
      <c r="C15" s="15"/>
      <c r="D15" s="15"/>
      <c r="E15" s="16" t="s">
        <v>7</v>
      </c>
    </row>
    <row r="16" spans="2:5">
      <c r="B16" s="17"/>
      <c r="C16" s="18"/>
      <c r="D16" s="18"/>
      <c r="E16" s="19" t="s">
        <v>8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B8F1-8B3E-2A4B-B05B-91F71287D451}">
  <dimension ref="A1:R100"/>
  <sheetViews>
    <sheetView showGridLines="0" tabSelected="1" topLeftCell="A81" zoomScale="89" zoomScaleNormal="100" workbookViewId="0">
      <selection activeCell="C96" sqref="C96"/>
    </sheetView>
  </sheetViews>
  <sheetFormatPr defaultColWidth="8.85546875" defaultRowHeight="14.45"/>
  <cols>
    <col min="1" max="1" width="2.42578125" style="1" customWidth="1"/>
    <col min="2" max="2" width="61.85546875" style="1" customWidth="1"/>
    <col min="3" max="12" width="11.5703125" style="23" customWidth="1"/>
    <col min="13" max="13" width="9.85546875" style="23" bestFit="1" customWidth="1"/>
    <col min="14" max="16384" width="8.85546875" style="23"/>
  </cols>
  <sheetData>
    <row r="1" spans="1:15" s="1" customFormat="1"/>
    <row r="2" spans="1:15" s="1" customFormat="1">
      <c r="A2" s="1" t="s">
        <v>9</v>
      </c>
      <c r="B2" s="20" t="s">
        <v>10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15" s="1" customFormat="1">
      <c r="B3" s="1" t="s">
        <v>11</v>
      </c>
    </row>
    <row r="4" spans="1:15" s="1" customFormat="1">
      <c r="B4" s="1" t="s">
        <v>12</v>
      </c>
    </row>
    <row r="5" spans="1:15" s="1" customFormat="1">
      <c r="A5" s="1" t="s">
        <v>9</v>
      </c>
      <c r="B5" s="21" t="s">
        <v>13</v>
      </c>
      <c r="C5" s="21">
        <v>2019</v>
      </c>
      <c r="D5" s="21">
        <v>2020</v>
      </c>
      <c r="E5" s="21">
        <v>2021</v>
      </c>
      <c r="F5" s="21">
        <v>2022</v>
      </c>
      <c r="G5" s="21">
        <v>2023</v>
      </c>
      <c r="H5" s="21">
        <v>2024</v>
      </c>
      <c r="I5" s="21">
        <v>2025</v>
      </c>
      <c r="J5" s="21">
        <v>2026</v>
      </c>
      <c r="K5" s="21">
        <v>2027</v>
      </c>
      <c r="L5" s="21">
        <v>2028</v>
      </c>
      <c r="M5" s="21" t="s">
        <v>14</v>
      </c>
    </row>
    <row r="6" spans="1:15" s="1" customFormat="1">
      <c r="B6" s="108" t="s">
        <v>15</v>
      </c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</row>
    <row r="7" spans="1:15" s="1" customFormat="1">
      <c r="B7" s="43" t="s">
        <v>16</v>
      </c>
      <c r="C7" s="110">
        <f>5634835*0.577</f>
        <v>3251299.7949999999</v>
      </c>
      <c r="D7" s="110">
        <f>6468759*0.572</f>
        <v>3700130.1479999996</v>
      </c>
      <c r="E7" s="110">
        <f>6099869*0.577</f>
        <v>3519624.4129999997</v>
      </c>
      <c r="F7" s="110">
        <f>6404223*0.58</f>
        <v>3714449.34</v>
      </c>
      <c r="G7" s="109">
        <f>F7*(1+G8)</f>
        <v>4078465.3753200001</v>
      </c>
      <c r="H7" s="109">
        <f t="shared" ref="G7:L7" si="0">G7*(1+H8)</f>
        <v>4458170.5017622923</v>
      </c>
      <c r="I7" s="109">
        <f t="shared" si="0"/>
        <v>4823419.4946306739</v>
      </c>
      <c r="J7" s="109">
        <f t="shared" si="0"/>
        <v>5171171.8335040435</v>
      </c>
      <c r="K7" s="109">
        <f t="shared" si="0"/>
        <v>5499257.0538753308</v>
      </c>
      <c r="L7" s="109">
        <f t="shared" si="0"/>
        <v>5806289.583064233</v>
      </c>
      <c r="M7" s="108"/>
    </row>
    <row r="8" spans="1:15" s="1" customFormat="1">
      <c r="B8" s="44" t="s">
        <v>17</v>
      </c>
      <c r="C8" s="45"/>
      <c r="D8" s="94">
        <f>(D7-C7)/C7</f>
        <v>0.13804643720958365</v>
      </c>
      <c r="E8" s="94">
        <f>(E7-D7)/D7</f>
        <v>-4.8783617813434786E-2</v>
      </c>
      <c r="F8" s="94">
        <f>(F7-E7)/E7</f>
        <v>5.5353896932979409E-2</v>
      </c>
      <c r="G8" s="94">
        <v>9.8000000000000004E-2</v>
      </c>
      <c r="H8" s="48">
        <f>G8*0.95</f>
        <v>9.3100000000000002E-2</v>
      </c>
      <c r="I8" s="48">
        <f>H8*0.88</f>
        <v>8.1928000000000001E-2</v>
      </c>
      <c r="J8" s="48">
        <f>I8*0.88</f>
        <v>7.2096640000000004E-2</v>
      </c>
      <c r="K8" s="48">
        <f>J8*0.88</f>
        <v>6.3445043200000009E-2</v>
      </c>
      <c r="L8" s="48">
        <f>K8*0.88</f>
        <v>5.583163801600001E-2</v>
      </c>
      <c r="M8" s="108"/>
    </row>
    <row r="9" spans="1:15" s="1" customFormat="1">
      <c r="B9" s="43" t="s">
        <v>18</v>
      </c>
      <c r="C9" s="110">
        <f>5634835*0.423</f>
        <v>2383535.2050000001</v>
      </c>
      <c r="D9" s="110">
        <f>6468759*0.428</f>
        <v>2768628.852</v>
      </c>
      <c r="E9" s="110">
        <f>6099869*0.423</f>
        <v>2580244.5869999998</v>
      </c>
      <c r="F9" s="110">
        <f>6404223*0.42</f>
        <v>2689773.6599999997</v>
      </c>
      <c r="G9" s="109">
        <f t="shared" ref="G9:L9" si="1">F9*(1+G10)</f>
        <v>2947991.9313599998</v>
      </c>
      <c r="H9" s="109">
        <f t="shared" si="1"/>
        <v>3216848.7955000317</v>
      </c>
      <c r="I9" s="109">
        <f t="shared" si="1"/>
        <v>3475020.2124316827</v>
      </c>
      <c r="J9" s="109">
        <f t="shared" si="1"/>
        <v>3720444.4879403301</v>
      </c>
      <c r="K9" s="109">
        <f t="shared" si="1"/>
        <v>3951671.0295833438</v>
      </c>
      <c r="L9" s="109">
        <f t="shared" si="1"/>
        <v>4167796.6783820488</v>
      </c>
      <c r="M9" s="108"/>
    </row>
    <row r="10" spans="1:15" s="1" customFormat="1">
      <c r="B10" s="44" t="s">
        <v>17</v>
      </c>
      <c r="C10" s="45"/>
      <c r="D10" s="94">
        <f>(D9-C9)/C9</f>
        <v>0.16156406928338191</v>
      </c>
      <c r="E10" s="94">
        <f>(E9-D9)/D9</f>
        <v>-6.8042440886908792E-2</v>
      </c>
      <c r="F10" s="94">
        <f>(F9-E9)/E9</f>
        <v>4.2449104845268634E-2</v>
      </c>
      <c r="G10" s="94">
        <v>9.6000000000000002E-2</v>
      </c>
      <c r="H10" s="94">
        <f>G10*0.95</f>
        <v>9.1200000000000003E-2</v>
      </c>
      <c r="I10" s="48">
        <f>H10*0.88</f>
        <v>8.0256000000000008E-2</v>
      </c>
      <c r="J10" s="48">
        <f>I10*0.88</f>
        <v>7.0625280000000012E-2</v>
      </c>
      <c r="K10" s="48">
        <f>J10*0.88</f>
        <v>6.2150246400000012E-2</v>
      </c>
      <c r="L10" s="48">
        <f>K10*0.88</f>
        <v>5.4692216832000012E-2</v>
      </c>
      <c r="M10" s="108"/>
    </row>
    <row r="11" spans="1:15" s="1" customFormat="1">
      <c r="B11" s="29" t="s">
        <v>19</v>
      </c>
      <c r="C11" s="95">
        <f t="shared" ref="C11:L11" si="2">C9+C7</f>
        <v>5634835</v>
      </c>
      <c r="D11" s="95">
        <f t="shared" si="2"/>
        <v>6468759</v>
      </c>
      <c r="E11" s="95">
        <f t="shared" si="2"/>
        <v>6099869</v>
      </c>
      <c r="F11" s="95">
        <f t="shared" si="2"/>
        <v>6404223</v>
      </c>
      <c r="G11" s="95">
        <f t="shared" si="2"/>
        <v>7026457.3066799995</v>
      </c>
      <c r="H11" s="95">
        <f t="shared" si="2"/>
        <v>7675019.297262324</v>
      </c>
      <c r="I11" s="95">
        <f t="shared" si="2"/>
        <v>8298439.7070623562</v>
      </c>
      <c r="J11" s="95">
        <f t="shared" si="2"/>
        <v>8891616.3214443736</v>
      </c>
      <c r="K11" s="95">
        <f t="shared" si="2"/>
        <v>9450928.0834586751</v>
      </c>
      <c r="L11" s="95">
        <f t="shared" si="2"/>
        <v>9974086.2614462823</v>
      </c>
    </row>
    <row r="12" spans="1:15" s="1" customFormat="1">
      <c r="B12" s="44" t="s">
        <v>17</v>
      </c>
      <c r="C12" s="45"/>
      <c r="D12" s="94">
        <f t="shared" ref="D12:L12" si="3">(D11-C11)/C11</f>
        <v>0.14799439557680039</v>
      </c>
      <c r="E12" s="94">
        <f t="shared" si="3"/>
        <v>-5.7026394088881653E-2</v>
      </c>
      <c r="F12" s="94">
        <f t="shared" si="3"/>
        <v>4.989516987987775E-2</v>
      </c>
      <c r="G12" s="94">
        <f t="shared" si="3"/>
        <v>9.7159999999999913E-2</v>
      </c>
      <c r="H12" s="94">
        <f t="shared" si="3"/>
        <v>9.2302843705567184E-2</v>
      </c>
      <c r="I12" s="94">
        <f t="shared" si="3"/>
        <v>8.1227210727979005E-2</v>
      </c>
      <c r="J12" s="94">
        <f t="shared" si="3"/>
        <v>7.1480499385588911E-2</v>
      </c>
      <c r="K12" s="94">
        <f t="shared" si="3"/>
        <v>6.2903272227950308E-2</v>
      </c>
      <c r="L12" s="94">
        <f t="shared" si="3"/>
        <v>5.5355217325508577E-2</v>
      </c>
      <c r="M12" s="1" t="s">
        <v>20</v>
      </c>
    </row>
    <row r="13" spans="1:15" s="1" customFormat="1">
      <c r="B13" s="2" t="s">
        <v>21</v>
      </c>
      <c r="C13" s="22">
        <v>3740017</v>
      </c>
      <c r="D13" s="22">
        <v>4089470</v>
      </c>
      <c r="E13" s="22">
        <v>3890657</v>
      </c>
      <c r="F13" s="22">
        <v>4055659</v>
      </c>
      <c r="G13" s="23">
        <f>G14*G11</f>
        <v>4457802.0864631534</v>
      </c>
      <c r="H13" s="23">
        <f t="shared" ref="H13:L13" si="4">H14*H11</f>
        <v>4869269.8957203133</v>
      </c>
      <c r="I13" s="23">
        <f t="shared" si="4"/>
        <v>5264787.1076313909</v>
      </c>
      <c r="J13" s="23">
        <f t="shared" si="4"/>
        <v>5641116.7192436932</v>
      </c>
      <c r="K13" s="23">
        <f t="shared" si="4"/>
        <v>5995961.419903921</v>
      </c>
      <c r="L13" s="23">
        <f t="shared" si="4"/>
        <v>6327869.167378068</v>
      </c>
    </row>
    <row r="14" spans="1:15" s="1" customFormat="1">
      <c r="B14" s="44" t="s">
        <v>22</v>
      </c>
      <c r="C14" s="45"/>
      <c r="D14" s="94">
        <f>D13/D11</f>
        <v>0.63218771946829366</v>
      </c>
      <c r="E14" s="94">
        <f t="shared" ref="E14:F14" si="5">E13/E11</f>
        <v>0.63782632053245736</v>
      </c>
      <c r="F14" s="94">
        <f t="shared" si="5"/>
        <v>0.63327885365640768</v>
      </c>
      <c r="G14" s="94">
        <f>AVERAGE($D$14:$F$14)</f>
        <v>0.63443096455238612</v>
      </c>
      <c r="H14" s="48">
        <f t="shared" ref="H14:L14" si="6">AVERAGE($D$14:$F$14)</f>
        <v>0.63443096455238612</v>
      </c>
      <c r="I14" s="48">
        <f t="shared" si="6"/>
        <v>0.63443096455238612</v>
      </c>
      <c r="J14" s="48">
        <f t="shared" si="6"/>
        <v>0.63443096455238612</v>
      </c>
      <c r="K14" s="48">
        <f t="shared" si="6"/>
        <v>0.63443096455238612</v>
      </c>
      <c r="L14" s="48">
        <f t="shared" si="6"/>
        <v>0.63443096455238612</v>
      </c>
      <c r="M14" s="1" t="s">
        <v>23</v>
      </c>
      <c r="O14" s="56"/>
    </row>
    <row r="15" spans="1:15" s="1" customFormat="1">
      <c r="B15" s="29" t="s">
        <v>24</v>
      </c>
      <c r="C15" s="32">
        <f t="shared" ref="C15:L15" si="7">C11-C13</f>
        <v>1894818</v>
      </c>
      <c r="D15" s="32">
        <f t="shared" si="7"/>
        <v>2379289</v>
      </c>
      <c r="E15" s="32">
        <f t="shared" si="7"/>
        <v>2209212</v>
      </c>
      <c r="F15" s="32">
        <f t="shared" si="7"/>
        <v>2348564</v>
      </c>
      <c r="G15" s="32">
        <f t="shared" si="7"/>
        <v>2568655.2202168461</v>
      </c>
      <c r="H15" s="32">
        <f t="shared" si="7"/>
        <v>2805749.4015420107</v>
      </c>
      <c r="I15" s="32">
        <f t="shared" si="7"/>
        <v>3033652.5994309653</v>
      </c>
      <c r="J15" s="32">
        <f t="shared" si="7"/>
        <v>3250499.6022006804</v>
      </c>
      <c r="K15" s="32">
        <f t="shared" si="7"/>
        <v>3454966.6635547541</v>
      </c>
      <c r="L15" s="32">
        <f t="shared" si="7"/>
        <v>3646217.0940682143</v>
      </c>
    </row>
    <row r="16" spans="1:15" s="1" customFormat="1">
      <c r="B16" s="2" t="s">
        <v>25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</row>
    <row r="17" spans="2:18" s="1" customFormat="1">
      <c r="B17" s="1" t="s">
        <v>26</v>
      </c>
      <c r="C17" s="22">
        <v>1549707</v>
      </c>
      <c r="D17" s="22">
        <v>1863869</v>
      </c>
      <c r="E17" s="22">
        <v>1748205</v>
      </c>
      <c r="F17" s="22">
        <v>1855649</v>
      </c>
      <c r="G17" s="23">
        <f>G18*G11</f>
        <v>2001675.4536939454</v>
      </c>
      <c r="H17" s="23">
        <f t="shared" ref="H17:L17" si="8">H18*H11</f>
        <v>2186435.7902455279</v>
      </c>
      <c r="I17" s="23">
        <f t="shared" si="8"/>
        <v>2364033.8709229967</v>
      </c>
      <c r="J17" s="23">
        <f t="shared" si="8"/>
        <v>2533016.1925810194</v>
      </c>
      <c r="K17" s="23">
        <f t="shared" si="8"/>
        <v>2692351.1997007495</v>
      </c>
      <c r="L17" s="23">
        <f t="shared" si="8"/>
        <v>2841386.8854767783</v>
      </c>
      <c r="M17" s="1" t="s">
        <v>23</v>
      </c>
    </row>
    <row r="18" spans="2:18" s="1" customFormat="1">
      <c r="B18" s="44" t="s">
        <v>22</v>
      </c>
      <c r="C18" s="94">
        <f>C17/C11</f>
        <v>0.27502260492099589</v>
      </c>
      <c r="D18" s="94">
        <f t="shared" ref="D18:F18" si="9">D17/D11</f>
        <v>0.28813393728225151</v>
      </c>
      <c r="E18" s="94">
        <f t="shared" si="9"/>
        <v>0.28659713839756229</v>
      </c>
      <c r="F18" s="94">
        <f t="shared" si="9"/>
        <v>0.28975396390787767</v>
      </c>
      <c r="G18" s="94">
        <f>AVERAGE($C$18:$F$18)</f>
        <v>0.28487691112717184</v>
      </c>
      <c r="H18" s="48">
        <f t="shared" ref="H18:L18" si="10">AVERAGE($C$18:$F$18)</f>
        <v>0.28487691112717184</v>
      </c>
      <c r="I18" s="48">
        <f t="shared" si="10"/>
        <v>0.28487691112717184</v>
      </c>
      <c r="J18" s="48">
        <f t="shared" si="10"/>
        <v>0.28487691112717184</v>
      </c>
      <c r="K18" s="48">
        <f t="shared" si="10"/>
        <v>0.28487691112717184</v>
      </c>
      <c r="L18" s="48">
        <f t="shared" si="10"/>
        <v>0.28487691112717184</v>
      </c>
    </row>
    <row r="19" spans="2:18" s="1" customFormat="1">
      <c r="B19" s="1" t="s">
        <v>27</v>
      </c>
      <c r="C19" s="22">
        <v>120491</v>
      </c>
      <c r="D19" s="22">
        <v>124124</v>
      </c>
      <c r="E19" s="22">
        <v>122258</v>
      </c>
      <c r="F19" s="22">
        <v>123530</v>
      </c>
      <c r="G19" s="23">
        <f>F19*(1+G20)</f>
        <v>163059.6</v>
      </c>
      <c r="H19" s="23">
        <f t="shared" ref="H19" si="11">G19*(1+H20)</f>
        <v>215238.67200000002</v>
      </c>
      <c r="I19" s="23">
        <f t="shared" ref="I19" si="12">H19*(1+I20)</f>
        <v>284115.04704000003</v>
      </c>
      <c r="J19" s="23">
        <f t="shared" ref="J19" si="13">I19*(1+J20)</f>
        <v>375031.86209280009</v>
      </c>
      <c r="K19" s="23">
        <f t="shared" ref="K19" si="14">J19*(1+K20)</f>
        <v>495042.05796249612</v>
      </c>
      <c r="L19" s="23">
        <f t="shared" ref="L19" si="15">K19*(1+L20)</f>
        <v>653455.51651049487</v>
      </c>
      <c r="M19" s="1" t="s">
        <v>23</v>
      </c>
    </row>
    <row r="20" spans="2:18" s="1" customFormat="1">
      <c r="B20" s="44" t="s">
        <v>28</v>
      </c>
      <c r="C20" s="94">
        <f>C19/C23</f>
        <v>0.55433842473316153</v>
      </c>
      <c r="D20" s="94">
        <f>D19/D23</f>
        <v>0.31691368899442124</v>
      </c>
      <c r="E20" s="94">
        <f>E19/E23</f>
        <v>0.36595864414085416</v>
      </c>
      <c r="F20" s="94">
        <f>F19/F23</f>
        <v>0.34470923094095324</v>
      </c>
      <c r="G20" s="94">
        <f>32%</f>
        <v>0.32</v>
      </c>
      <c r="H20" s="46">
        <f>32%</f>
        <v>0.32</v>
      </c>
      <c r="I20" s="46">
        <f>32%</f>
        <v>0.32</v>
      </c>
      <c r="J20" s="46">
        <f>32%</f>
        <v>0.32</v>
      </c>
      <c r="K20" s="46">
        <f>32%</f>
        <v>0.32</v>
      </c>
      <c r="L20" s="46">
        <f>32%</f>
        <v>0.32</v>
      </c>
    </row>
    <row r="21" spans="2:18" s="1" customFormat="1">
      <c r="B21" s="1" t="s">
        <v>29</v>
      </c>
      <c r="C21" s="22">
        <v>7260</v>
      </c>
      <c r="D21" s="22">
        <v>-369</v>
      </c>
      <c r="E21" s="22">
        <v>4673</v>
      </c>
      <c r="F21" s="22">
        <v>11025</v>
      </c>
      <c r="G21" s="23">
        <f>F21*(1+G22)</f>
        <v>11035.250419024862</v>
      </c>
      <c r="H21" s="23">
        <f t="shared" ref="H21:L21" si="16">G21*(1+H22)</f>
        <v>11044.52086299232</v>
      </c>
      <c r="I21" s="23">
        <f t="shared" si="16"/>
        <v>11056.276157045482</v>
      </c>
      <c r="J21" s="23">
        <f t="shared" si="16"/>
        <v>11068.868410764735</v>
      </c>
      <c r="K21" s="23">
        <f t="shared" si="16"/>
        <v>11079.862834472398</v>
      </c>
      <c r="L21" s="23">
        <f t="shared" si="16"/>
        <v>11091.044157863247</v>
      </c>
      <c r="M21" s="1" t="s">
        <v>23</v>
      </c>
    </row>
    <row r="22" spans="2:18" s="1" customFormat="1">
      <c r="B22" s="44" t="s">
        <v>22</v>
      </c>
      <c r="C22" s="94">
        <f>C21/C11</f>
        <v>1.2884139464598343E-3</v>
      </c>
      <c r="D22" s="94">
        <f t="shared" ref="D22:F22" si="17">D21/D11</f>
        <v>-5.704339889614067E-5</v>
      </c>
      <c r="E22" s="94">
        <f t="shared" si="17"/>
        <v>7.660820256959617E-4</v>
      </c>
      <c r="F22" s="94">
        <f t="shared" si="17"/>
        <v>1.721520315579267E-3</v>
      </c>
      <c r="G22" s="94">
        <f>AVERAGE(C22:F22)</f>
        <v>9.2974322220973056E-4</v>
      </c>
      <c r="H22" s="46">
        <f t="shared" ref="H22:L22" si="18">AVERAGE(D22:G22)</f>
        <v>8.4007554114720465E-4</v>
      </c>
      <c r="I22" s="46">
        <f t="shared" si="18"/>
        <v>1.064355276158041E-3</v>
      </c>
      <c r="J22" s="46">
        <f t="shared" si="18"/>
        <v>1.1389235887735607E-3</v>
      </c>
      <c r="K22" s="46">
        <f t="shared" si="18"/>
        <v>9.932744070721344E-4</v>
      </c>
      <c r="L22" s="46">
        <f t="shared" si="18"/>
        <v>1.0091572032877353E-3</v>
      </c>
    </row>
    <row r="23" spans="2:18" s="1" customFormat="1">
      <c r="B23" s="29" t="s">
        <v>30</v>
      </c>
      <c r="C23" s="32">
        <f>C15-C17-C19-C21</f>
        <v>217360</v>
      </c>
      <c r="D23" s="32">
        <f t="shared" ref="D23:K23" si="19">D15-D17-D19-D21</f>
        <v>391665</v>
      </c>
      <c r="E23" s="103">
        <f>E15-E17-E19-E21</f>
        <v>334076</v>
      </c>
      <c r="F23" s="103">
        <f>F15-F17-F19-F21</f>
        <v>358360</v>
      </c>
      <c r="G23" s="103">
        <f>G15-G17-G19-G21</f>
        <v>392884.91610387585</v>
      </c>
      <c r="H23" s="103">
        <f>H15-H17-H19-H21</f>
        <v>393030.4184334905</v>
      </c>
      <c r="I23" s="32">
        <f t="shared" si="19"/>
        <v>374447.40531092306</v>
      </c>
      <c r="J23" s="32">
        <f t="shared" si="19"/>
        <v>331382.67911609623</v>
      </c>
      <c r="K23" s="32">
        <f t="shared" si="19"/>
        <v>256493.54305703612</v>
      </c>
      <c r="L23" s="32">
        <f>L15-L17-L19-L21</f>
        <v>140283.64792307792</v>
      </c>
      <c r="N23" s="1">
        <f>C23/C11</f>
        <v>3.8574332700070185E-2</v>
      </c>
      <c r="O23" s="1">
        <f>D23/D11</f>
        <v>6.0547162137281667E-2</v>
      </c>
      <c r="P23" s="1">
        <f>E23/E11</f>
        <v>5.4767733536572667E-2</v>
      </c>
      <c r="Q23" s="1">
        <f>F23/F11</f>
        <v>5.595682723727765E-2</v>
      </c>
      <c r="R23" s="1">
        <f>G23/G11</f>
        <v>5.5915079101151462E-2</v>
      </c>
    </row>
    <row r="24" spans="2:18" s="1" customFormat="1">
      <c r="B24" s="1" t="s">
        <v>31</v>
      </c>
      <c r="C24" s="22">
        <v>21192</v>
      </c>
      <c r="D24" s="22">
        <v>14787</v>
      </c>
      <c r="E24" s="22">
        <v>11684</v>
      </c>
      <c r="F24" s="22">
        <v>9047</v>
      </c>
      <c r="G24" s="23">
        <f>G25*G11</f>
        <v>16576.430888399998</v>
      </c>
      <c r="H24" s="23">
        <f t="shared" ref="H24:L24" si="20">H25*H11</f>
        <v>17563.288119951478</v>
      </c>
      <c r="I24" s="23">
        <f t="shared" si="20"/>
        <v>18420.207874392578</v>
      </c>
      <c r="J24" s="23">
        <f t="shared" si="20"/>
        <v>19144.786726079299</v>
      </c>
      <c r="K24" s="23">
        <f t="shared" si="20"/>
        <v>19738.584763538234</v>
      </c>
      <c r="L24" s="23">
        <f t="shared" si="20"/>
        <v>20206.281860437211</v>
      </c>
    </row>
    <row r="25" spans="2:18" s="1" customFormat="1" ht="14.45" customHeight="1">
      <c r="B25" s="93" t="s">
        <v>22</v>
      </c>
      <c r="C25" s="111">
        <f>C24/C11</f>
        <v>3.7608909577654002E-3</v>
      </c>
      <c r="D25" s="94">
        <f>D24/D11</f>
        <v>2.2859098630819297E-3</v>
      </c>
      <c r="E25" s="94">
        <f>E24/E11</f>
        <v>1.9154509711602004E-3</v>
      </c>
      <c r="F25" s="94">
        <f>F24/F11</f>
        <v>1.4126616140630955E-3</v>
      </c>
      <c r="G25" s="94">
        <f>F25*1.67</f>
        <v>2.3591448954853695E-3</v>
      </c>
      <c r="H25" s="46">
        <f>G25*0.97</f>
        <v>2.2883705486208086E-3</v>
      </c>
      <c r="I25" s="46">
        <f t="shared" ref="I25:L25" si="21">H25*0.97</f>
        <v>2.2197194321621843E-3</v>
      </c>
      <c r="J25" s="46">
        <f t="shared" si="21"/>
        <v>2.1531278491973187E-3</v>
      </c>
      <c r="K25" s="46">
        <f t="shared" si="21"/>
        <v>2.088534013721399E-3</v>
      </c>
      <c r="L25" s="46">
        <f t="shared" si="21"/>
        <v>2.0258779933097571E-3</v>
      </c>
      <c r="M25" s="1" t="s">
        <v>32</v>
      </c>
    </row>
    <row r="26" spans="2:18" s="1" customFormat="1" ht="14.45" customHeight="1">
      <c r="B26" s="93" t="s">
        <v>33</v>
      </c>
      <c r="C26" s="112">
        <f t="shared" ref="C26:L26" si="22">C23/C24</f>
        <v>10.256700641751605</v>
      </c>
      <c r="D26" s="112">
        <f t="shared" si="22"/>
        <v>26.48711706228444</v>
      </c>
      <c r="E26" s="112">
        <f t="shared" si="22"/>
        <v>28.592605272167066</v>
      </c>
      <c r="F26" s="112">
        <f t="shared" si="22"/>
        <v>39.610920747209022</v>
      </c>
      <c r="G26" s="102">
        <f t="shared" si="22"/>
        <v>23.7014179197533</v>
      </c>
      <c r="H26" s="102">
        <f t="shared" si="22"/>
        <v>22.377951995618478</v>
      </c>
      <c r="I26" s="102">
        <f t="shared" si="22"/>
        <v>20.328077069720408</v>
      </c>
      <c r="J26" s="102">
        <f t="shared" si="22"/>
        <v>17.309290714880728</v>
      </c>
      <c r="K26" s="102">
        <f t="shared" si="22"/>
        <v>12.994525500675179</v>
      </c>
      <c r="L26" s="102">
        <f t="shared" si="22"/>
        <v>6.9425760212592893</v>
      </c>
    </row>
    <row r="27" spans="2:18" s="1" customFormat="1">
      <c r="B27" s="29" t="s">
        <v>34</v>
      </c>
      <c r="C27" s="32">
        <f>C23-C24</f>
        <v>196168</v>
      </c>
      <c r="D27" s="32">
        <f>D23-D24</f>
        <v>376878</v>
      </c>
      <c r="E27" s="32">
        <f>E23-E24</f>
        <v>322392</v>
      </c>
      <c r="F27" s="32">
        <f t="shared" ref="F27:J27" si="23">F23-F24</f>
        <v>349313</v>
      </c>
      <c r="G27" s="32">
        <f t="shared" si="23"/>
        <v>376308.48521547584</v>
      </c>
      <c r="H27" s="32">
        <f t="shared" si="23"/>
        <v>375467.130313539</v>
      </c>
      <c r="I27" s="32">
        <f t="shared" si="23"/>
        <v>356027.19743653049</v>
      </c>
      <c r="J27" s="32">
        <f t="shared" si="23"/>
        <v>312237.89239001693</v>
      </c>
      <c r="K27" s="32">
        <f>K23-K24</f>
        <v>236754.95829349788</v>
      </c>
      <c r="L27" s="32">
        <f>L23-L24</f>
        <v>120077.36606264071</v>
      </c>
    </row>
    <row r="28" spans="2:18" s="1" customFormat="1">
      <c r="B28" s="1" t="s">
        <v>35</v>
      </c>
      <c r="C28" s="22">
        <v>46539</v>
      </c>
      <c r="D28" s="22">
        <v>89428</v>
      </c>
      <c r="E28" s="22">
        <v>78235</v>
      </c>
      <c r="F28" s="22">
        <v>88149</v>
      </c>
      <c r="G28" s="23">
        <f>F28*(1+G29)</f>
        <v>109515.1472199344</v>
      </c>
      <c r="H28" s="23">
        <f t="shared" ref="G28:L28" si="24">G28*(1+H29)</f>
        <v>136060.16484139248</v>
      </c>
      <c r="I28" s="23">
        <f t="shared" si="24"/>
        <v>169039.34228832592</v>
      </c>
      <c r="J28" s="23">
        <f t="shared" si="24"/>
        <v>210012.23447420725</v>
      </c>
      <c r="K28" s="23">
        <f t="shared" si="24"/>
        <v>260916.41171686791</v>
      </c>
      <c r="L28" s="23">
        <f t="shared" si="24"/>
        <v>324159.08565349359</v>
      </c>
      <c r="M28" s="1" t="s">
        <v>23</v>
      </c>
    </row>
    <row r="29" spans="2:18" s="1" customFormat="1">
      <c r="B29" s="93" t="s">
        <v>36</v>
      </c>
      <c r="C29" s="94">
        <f>C28/C27</f>
        <v>0.23724052852656907</v>
      </c>
      <c r="D29" s="94">
        <f t="shared" ref="D29:E29" si="25">D28/D27</f>
        <v>0.23728633669251056</v>
      </c>
      <c r="E29" s="94">
        <f t="shared" si="25"/>
        <v>0.24267041365790715</v>
      </c>
      <c r="F29" s="94">
        <f>F28/F27</f>
        <v>0.25234961195260414</v>
      </c>
      <c r="G29" s="94">
        <f>AVERAGE($C$29:$F$29)</f>
        <v>0.24238672270739769</v>
      </c>
      <c r="H29" s="94">
        <f>AVERAGE($C$29:$F$29)</f>
        <v>0.24238672270739769</v>
      </c>
      <c r="I29" s="46">
        <f t="shared" ref="I29:L29" si="26">AVERAGE($C$29:$F$29)</f>
        <v>0.24238672270739769</v>
      </c>
      <c r="J29" s="46">
        <f t="shared" si="26"/>
        <v>0.24238672270739769</v>
      </c>
      <c r="K29" s="46">
        <f t="shared" si="26"/>
        <v>0.24238672270739769</v>
      </c>
      <c r="L29" s="46">
        <f t="shared" si="26"/>
        <v>0.24238672270739769</v>
      </c>
    </row>
    <row r="30" spans="2:18" s="1" customFormat="1">
      <c r="B30" s="29" t="s">
        <v>37</v>
      </c>
      <c r="C30" s="30">
        <f>C27-C28</f>
        <v>149629</v>
      </c>
      <c r="D30" s="30">
        <f t="shared" ref="D30:E30" si="27">D27-D28</f>
        <v>287450</v>
      </c>
      <c r="E30" s="30">
        <f t="shared" si="27"/>
        <v>244157</v>
      </c>
      <c r="F30" s="30">
        <f>F27-F28</f>
        <v>261164</v>
      </c>
      <c r="G30" s="95">
        <f>G28*(1-G29)</f>
        <v>82970.129598476327</v>
      </c>
      <c r="H30" s="95">
        <f t="shared" ref="H30:L30" si="28">H28*(1-H29)</f>
        <v>103080.98739445907</v>
      </c>
      <c r="I30" s="95">
        <f t="shared" si="28"/>
        <v>128066.45010244458</v>
      </c>
      <c r="J30" s="95">
        <f t="shared" si="28"/>
        <v>159108.05723154658</v>
      </c>
      <c r="K30" s="95">
        <f t="shared" si="28"/>
        <v>197673.73778024223</v>
      </c>
      <c r="L30" s="95">
        <f t="shared" si="28"/>
        <v>245587.22724611667</v>
      </c>
    </row>
    <row r="31" spans="2:18" s="1" customFormat="1">
      <c r="B31" s="1" t="s">
        <v>38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2:18" s="1" customFormat="1">
      <c r="B32" s="1" t="s">
        <v>39</v>
      </c>
      <c r="C32" s="25">
        <v>1.25</v>
      </c>
      <c r="D32" s="25">
        <v>2.44</v>
      </c>
      <c r="E32" s="25">
        <v>2.12</v>
      </c>
      <c r="F32" s="25">
        <v>2.41</v>
      </c>
      <c r="G32" s="24">
        <f>G30/G35</f>
        <v>0.76659518070881372</v>
      </c>
      <c r="H32" s="24">
        <f t="shared" ref="H32:L32" si="29">H30/H35</f>
        <v>0.95240767420410843</v>
      </c>
      <c r="I32" s="24">
        <f t="shared" si="29"/>
        <v>1.1832586490358172</v>
      </c>
      <c r="J32" s="24">
        <f t="shared" si="29"/>
        <v>1.4700648350907919</v>
      </c>
      <c r="K32" s="24">
        <f t="shared" si="29"/>
        <v>1.8263890326358398</v>
      </c>
      <c r="L32" s="24">
        <f t="shared" si="29"/>
        <v>2.2690814846451759</v>
      </c>
      <c r="M32" s="24"/>
    </row>
    <row r="33" spans="1:13" s="1" customFormat="1">
      <c r="B33" s="1" t="s">
        <v>40</v>
      </c>
      <c r="C33" s="25">
        <v>1.25</v>
      </c>
      <c r="D33" s="25">
        <v>2.4300000000000002</v>
      </c>
      <c r="E33" s="25">
        <v>2.1</v>
      </c>
      <c r="F33" s="25">
        <v>2.39</v>
      </c>
      <c r="G33" s="24">
        <f>G30/G36</f>
        <v>0.76022438906785228</v>
      </c>
      <c r="H33" s="24">
        <f t="shared" ref="H33:L33" si="30">H30/H36</f>
        <v>0.94449268725624269</v>
      </c>
      <c r="I33" s="24">
        <f t="shared" si="30"/>
        <v>1.1734251743413864</v>
      </c>
      <c r="J33" s="24">
        <f t="shared" si="30"/>
        <v>1.4578478566923518</v>
      </c>
      <c r="K33" s="24">
        <f t="shared" si="30"/>
        <v>1.811210820882015</v>
      </c>
      <c r="L33" s="24">
        <f t="shared" si="30"/>
        <v>2.2502242758877822</v>
      </c>
      <c r="M33" s="24"/>
    </row>
    <row r="34" spans="1:13" s="1" customFormat="1">
      <c r="B34" s="1" t="s">
        <v>41</v>
      </c>
      <c r="C34" s="22"/>
      <c r="D34" s="23"/>
      <c r="E34" s="23"/>
      <c r="F34" s="23"/>
      <c r="G34" s="23"/>
      <c r="H34" s="23"/>
      <c r="I34" s="23"/>
      <c r="J34" s="23"/>
      <c r="K34" s="23"/>
      <c r="L34" s="23"/>
    </row>
    <row r="35" spans="1:13" s="1" customFormat="1">
      <c r="B35" s="1" t="s">
        <v>42</v>
      </c>
      <c r="C35" s="50">
        <v>119368</v>
      </c>
      <c r="D35" s="50">
        <v>117821</v>
      </c>
      <c r="E35" s="50">
        <v>115377</v>
      </c>
      <c r="F35" s="50">
        <v>108232</v>
      </c>
      <c r="G35" s="23">
        <v>108232</v>
      </c>
      <c r="H35" s="23">
        <v>108232</v>
      </c>
      <c r="I35" s="23">
        <v>108232</v>
      </c>
      <c r="J35" s="23">
        <v>108232</v>
      </c>
      <c r="K35" s="23">
        <v>108232</v>
      </c>
      <c r="L35" s="23">
        <v>108232</v>
      </c>
      <c r="M35" s="1" t="s">
        <v>23</v>
      </c>
    </row>
    <row r="36" spans="1:13" s="1" customFormat="1">
      <c r="B36" s="1" t="s">
        <v>40</v>
      </c>
      <c r="C36" s="50">
        <v>119742</v>
      </c>
      <c r="D36" s="50">
        <v>118224</v>
      </c>
      <c r="E36" s="50">
        <v>116077</v>
      </c>
      <c r="F36" s="50">
        <v>109139</v>
      </c>
      <c r="G36" s="23">
        <v>109139</v>
      </c>
      <c r="H36" s="23">
        <v>109139</v>
      </c>
      <c r="I36" s="23">
        <v>109139</v>
      </c>
      <c r="J36" s="23">
        <v>109139</v>
      </c>
      <c r="K36" s="23">
        <v>109139</v>
      </c>
      <c r="L36" s="23">
        <v>109139</v>
      </c>
      <c r="M36" s="1" t="s">
        <v>23</v>
      </c>
    </row>
    <row r="37" spans="1:13" s="1" customFormat="1">
      <c r="C37" s="23"/>
      <c r="D37" s="23"/>
      <c r="E37" s="23"/>
      <c r="F37" s="23"/>
      <c r="G37" s="23"/>
      <c r="H37" s="23"/>
      <c r="I37" s="23"/>
      <c r="J37" s="23"/>
      <c r="K37" s="23"/>
      <c r="L37" s="23"/>
    </row>
    <row r="38" spans="1:13" s="1" customFormat="1">
      <c r="A38" s="1" t="s">
        <v>9</v>
      </c>
      <c r="B38" s="21" t="s">
        <v>43</v>
      </c>
      <c r="C38" s="21">
        <v>2019</v>
      </c>
      <c r="D38" s="21">
        <v>2020</v>
      </c>
      <c r="E38" s="21">
        <v>2021</v>
      </c>
      <c r="F38" s="21">
        <v>2022</v>
      </c>
      <c r="G38" s="21">
        <v>2023</v>
      </c>
      <c r="H38" s="21">
        <v>2024</v>
      </c>
      <c r="I38" s="21">
        <v>2025</v>
      </c>
      <c r="J38" s="21">
        <v>2026</v>
      </c>
      <c r="K38" s="21">
        <v>2027</v>
      </c>
      <c r="L38" s="21">
        <v>2028</v>
      </c>
    </row>
    <row r="39" spans="1:13" s="1" customFormat="1">
      <c r="B39" s="2" t="s">
        <v>44</v>
      </c>
      <c r="D39" s="23"/>
      <c r="E39" s="23"/>
      <c r="F39" s="23"/>
      <c r="G39" s="23"/>
      <c r="H39" s="23"/>
      <c r="I39" s="23"/>
      <c r="J39" s="23"/>
      <c r="K39" s="23"/>
      <c r="L39" s="23"/>
    </row>
    <row r="40" spans="1:13" s="1" customFormat="1">
      <c r="B40" s="1" t="s">
        <v>45</v>
      </c>
      <c r="D40" s="23"/>
      <c r="E40" s="23"/>
      <c r="F40" s="23"/>
      <c r="G40" s="23"/>
      <c r="H40" s="23"/>
      <c r="I40" s="23"/>
      <c r="J40" s="23"/>
      <c r="K40" s="23"/>
      <c r="L40" s="23"/>
    </row>
    <row r="41" spans="1:13" s="1" customFormat="1">
      <c r="B41" s="1" t="s">
        <v>46</v>
      </c>
      <c r="C41" s="27">
        <v>85314</v>
      </c>
      <c r="D41" s="27">
        <v>169697</v>
      </c>
      <c r="E41" s="27">
        <v>245287</v>
      </c>
      <c r="F41" s="27">
        <v>293233</v>
      </c>
      <c r="G41" s="26"/>
      <c r="H41" s="26"/>
      <c r="I41" s="26"/>
      <c r="J41" s="26"/>
      <c r="K41" s="26"/>
      <c r="L41" s="26"/>
    </row>
    <row r="42" spans="1:13" s="1" customFormat="1">
      <c r="B42" s="1" t="s">
        <v>47</v>
      </c>
      <c r="C42" s="22">
        <v>15713</v>
      </c>
      <c r="D42" s="22">
        <v>14815</v>
      </c>
      <c r="E42" s="22">
        <v>21574</v>
      </c>
      <c r="F42" s="22">
        <v>16108</v>
      </c>
      <c r="G42" s="23"/>
      <c r="H42" s="23"/>
      <c r="I42" s="23"/>
      <c r="J42" s="23"/>
      <c r="K42" s="23"/>
      <c r="L42" s="23"/>
    </row>
    <row r="43" spans="1:13" s="1" customFormat="1">
      <c r="B43" s="1" t="s">
        <v>48</v>
      </c>
      <c r="C43" s="22">
        <v>275979</v>
      </c>
      <c r="D43" s="22">
        <v>254224</v>
      </c>
      <c r="E43" s="22">
        <v>265387</v>
      </c>
      <c r="F43" s="22">
        <v>310545</v>
      </c>
      <c r="G43" s="23"/>
      <c r="H43" s="23"/>
      <c r="I43" s="23"/>
      <c r="J43" s="23"/>
      <c r="K43" s="23"/>
      <c r="L43" s="23"/>
    </row>
    <row r="44" spans="1:13" s="1" customFormat="1">
      <c r="B44" s="1" t="s">
        <v>49</v>
      </c>
      <c r="C44" s="22">
        <v>10833</v>
      </c>
      <c r="D44" s="22">
        <v>27224</v>
      </c>
      <c r="E44" s="22">
        <v>35468</v>
      </c>
      <c r="F44" s="22">
        <v>53918</v>
      </c>
      <c r="G44" s="23"/>
      <c r="H44" s="23"/>
      <c r="I44" s="23"/>
      <c r="J44" s="23"/>
      <c r="K44" s="23"/>
      <c r="L44" s="23"/>
    </row>
    <row r="45" spans="1:13" s="1" customFormat="1">
      <c r="B45" s="28" t="s">
        <v>50</v>
      </c>
      <c r="C45" s="35">
        <f t="shared" ref="C45:L45" si="31">C41+C42+C43+C44</f>
        <v>387839</v>
      </c>
      <c r="D45" s="35">
        <f>D41+D42+D43+D44</f>
        <v>465960</v>
      </c>
      <c r="E45" s="35">
        <f t="shared" si="31"/>
        <v>567716</v>
      </c>
      <c r="F45" s="35">
        <f t="shared" si="31"/>
        <v>673804</v>
      </c>
      <c r="G45" s="35">
        <f t="shared" si="31"/>
        <v>0</v>
      </c>
      <c r="H45" s="35">
        <f t="shared" si="31"/>
        <v>0</v>
      </c>
      <c r="I45" s="35">
        <f t="shared" si="31"/>
        <v>0</v>
      </c>
      <c r="J45" s="35">
        <f t="shared" si="31"/>
        <v>0</v>
      </c>
      <c r="K45" s="35">
        <f t="shared" si="31"/>
        <v>0</v>
      </c>
      <c r="L45" s="35">
        <f t="shared" si="31"/>
        <v>0</v>
      </c>
    </row>
    <row r="46" spans="1:13">
      <c r="B46" s="1" t="s">
        <v>51</v>
      </c>
      <c r="C46" s="22">
        <v>741508</v>
      </c>
      <c r="D46" s="22">
        <v>726500</v>
      </c>
      <c r="E46" s="22">
        <v>716029</v>
      </c>
      <c r="F46" s="22">
        <v>722241</v>
      </c>
    </row>
    <row r="47" spans="1:13">
      <c r="B47" s="1" t="s">
        <v>52</v>
      </c>
      <c r="C47" s="22">
        <v>1028436</v>
      </c>
      <c r="D47" s="22">
        <v>1045408</v>
      </c>
      <c r="E47" s="22">
        <v>1072019</v>
      </c>
      <c r="F47" s="22">
        <v>1106524</v>
      </c>
    </row>
    <row r="48" spans="1:13">
      <c r="B48" s="1" t="s">
        <v>53</v>
      </c>
      <c r="C48" s="22">
        <v>185395</v>
      </c>
      <c r="D48" s="22">
        <v>184960</v>
      </c>
      <c r="E48" s="22">
        <v>184960</v>
      </c>
      <c r="F48" s="22">
        <v>184960</v>
      </c>
    </row>
    <row r="49" spans="2:12">
      <c r="B49" s="1" t="s">
        <v>54</v>
      </c>
      <c r="C49" s="22">
        <v>368078</v>
      </c>
      <c r="D49" s="22">
        <v>368878</v>
      </c>
      <c r="E49" s="22">
        <v>368878</v>
      </c>
      <c r="F49" s="22">
        <v>368878</v>
      </c>
    </row>
    <row r="50" spans="2:12">
      <c r="B50" s="1" t="s">
        <v>55</v>
      </c>
      <c r="C50" s="22">
        <v>11727</v>
      </c>
      <c r="D50" s="22">
        <v>14698</v>
      </c>
      <c r="E50" s="22">
        <v>12513</v>
      </c>
      <c r="F50" s="22">
        <v>13973</v>
      </c>
    </row>
    <row r="51" spans="2:12">
      <c r="B51" s="29" t="s">
        <v>56</v>
      </c>
      <c r="C51" s="30">
        <f>C45+C46+C47+C48+C49+C50</f>
        <v>2722983</v>
      </c>
      <c r="D51" s="30">
        <f t="shared" ref="D51:L51" si="32">D45+D46+D47+D48+D49+D50</f>
        <v>2806404</v>
      </c>
      <c r="E51" s="30">
        <f t="shared" si="32"/>
        <v>2922115</v>
      </c>
      <c r="F51" s="30">
        <f t="shared" si="32"/>
        <v>3070380</v>
      </c>
      <c r="G51" s="30">
        <f t="shared" si="32"/>
        <v>0</v>
      </c>
      <c r="H51" s="30">
        <f t="shared" si="32"/>
        <v>0</v>
      </c>
      <c r="I51" s="30">
        <f t="shared" si="32"/>
        <v>0</v>
      </c>
      <c r="J51" s="30">
        <f t="shared" si="32"/>
        <v>0</v>
      </c>
      <c r="K51" s="30">
        <f t="shared" si="32"/>
        <v>0</v>
      </c>
      <c r="L51" s="30">
        <f t="shared" si="32"/>
        <v>0</v>
      </c>
    </row>
    <row r="52" spans="2:12">
      <c r="B52" s="2" t="s">
        <v>57</v>
      </c>
    </row>
    <row r="53" spans="2:12">
      <c r="B53" s="1" t="s">
        <v>58</v>
      </c>
    </row>
    <row r="54" spans="2:12">
      <c r="B54" s="1" t="s">
        <v>59</v>
      </c>
      <c r="C54" s="27">
        <v>122839</v>
      </c>
      <c r="D54" s="27">
        <v>139337</v>
      </c>
      <c r="E54" s="27">
        <v>145901</v>
      </c>
      <c r="F54" s="27">
        <v>172904</v>
      </c>
      <c r="G54" s="26"/>
      <c r="H54" s="26"/>
      <c r="I54" s="26"/>
      <c r="J54" s="26"/>
      <c r="K54" s="26"/>
      <c r="L54" s="26"/>
    </row>
    <row r="55" spans="2:12">
      <c r="B55" s="1" t="s">
        <v>60</v>
      </c>
      <c r="C55" s="22">
        <v>136482</v>
      </c>
      <c r="D55" s="22">
        <v>143402</v>
      </c>
      <c r="E55" s="22">
        <v>155996</v>
      </c>
      <c r="F55" s="22">
        <v>151306</v>
      </c>
    </row>
    <row r="56" spans="2:12">
      <c r="B56" s="1" t="s">
        <v>61</v>
      </c>
      <c r="C56" s="22">
        <v>48579</v>
      </c>
      <c r="D56" s="22">
        <v>76695</v>
      </c>
      <c r="E56" s="22">
        <v>58743</v>
      </c>
      <c r="F56" s="22">
        <v>61574</v>
      </c>
    </row>
    <row r="57" spans="2:12">
      <c r="B57" s="1" t="s">
        <v>62</v>
      </c>
      <c r="C57" s="22">
        <v>2005</v>
      </c>
      <c r="D57" s="22">
        <v>0</v>
      </c>
      <c r="E57" s="22">
        <v>0</v>
      </c>
      <c r="F57" s="22">
        <v>0</v>
      </c>
    </row>
    <row r="58" spans="2:12">
      <c r="B58" s="1" t="s">
        <v>63</v>
      </c>
      <c r="C58" s="22">
        <v>106153</v>
      </c>
      <c r="D58" s="22">
        <v>135739</v>
      </c>
      <c r="E58" s="22">
        <v>151755</v>
      </c>
      <c r="F58" s="22">
        <v>135584</v>
      </c>
    </row>
    <row r="59" spans="2:12">
      <c r="B59" s="1" t="s">
        <v>64</v>
      </c>
      <c r="C59" s="22">
        <v>754</v>
      </c>
      <c r="D59" s="22">
        <v>959</v>
      </c>
      <c r="E59" s="22">
        <v>1078</v>
      </c>
      <c r="F59" s="22">
        <v>1012</v>
      </c>
    </row>
    <row r="60" spans="2:12">
      <c r="B60" s="28" t="s">
        <v>65</v>
      </c>
      <c r="C60" s="35">
        <f>C59+C58+C57+C56+C55+C54</f>
        <v>416812</v>
      </c>
      <c r="D60" s="35">
        <f t="shared" ref="D60:L60" si="33">D59+D58+D57+D56+D55+D54</f>
        <v>496132</v>
      </c>
      <c r="E60" s="35">
        <f t="shared" si="33"/>
        <v>513473</v>
      </c>
      <c r="F60" s="35">
        <f t="shared" si="33"/>
        <v>522380</v>
      </c>
      <c r="G60" s="35">
        <f t="shared" si="33"/>
        <v>0</v>
      </c>
      <c r="H60" s="35">
        <f t="shared" si="33"/>
        <v>0</v>
      </c>
      <c r="I60" s="35">
        <f t="shared" si="33"/>
        <v>0</v>
      </c>
      <c r="J60" s="35">
        <f t="shared" si="33"/>
        <v>0</v>
      </c>
      <c r="K60" s="35">
        <f t="shared" si="33"/>
        <v>0</v>
      </c>
      <c r="L60" s="35">
        <f t="shared" si="33"/>
        <v>0</v>
      </c>
    </row>
    <row r="61" spans="2:12">
      <c r="B61" s="1" t="s">
        <v>66</v>
      </c>
      <c r="C61" s="22">
        <v>1078927</v>
      </c>
      <c r="D61" s="22">
        <v>1069535</v>
      </c>
      <c r="E61" s="22">
        <v>1095909</v>
      </c>
      <c r="F61" s="22">
        <v>1145173</v>
      </c>
    </row>
    <row r="62" spans="2:12">
      <c r="B62" s="1" t="s">
        <v>67</v>
      </c>
      <c r="C62" s="22">
        <v>549419</v>
      </c>
      <c r="D62" s="22">
        <v>260459</v>
      </c>
      <c r="E62" s="22">
        <v>259656</v>
      </c>
      <c r="F62" s="22">
        <v>258902</v>
      </c>
    </row>
    <row r="63" spans="2:12">
      <c r="B63" s="1" t="s">
        <v>68</v>
      </c>
      <c r="C63" s="22">
        <v>41517</v>
      </c>
      <c r="D63" s="22">
        <v>40912</v>
      </c>
      <c r="E63" s="22">
        <v>36306</v>
      </c>
      <c r="F63" s="22">
        <v>36340</v>
      </c>
    </row>
    <row r="64" spans="2:12">
      <c r="B64" s="1" t="s">
        <v>69</v>
      </c>
      <c r="C64" s="22">
        <v>54356</v>
      </c>
      <c r="D64" s="22">
        <v>58073</v>
      </c>
      <c r="E64" s="22">
        <v>57895</v>
      </c>
      <c r="F64" s="22">
        <v>61123</v>
      </c>
    </row>
    <row r="65" spans="1:12">
      <c r="B65" s="29" t="s">
        <v>70</v>
      </c>
      <c r="C65" s="30">
        <f>C64+C63+C62+C61+C60</f>
        <v>2141031</v>
      </c>
      <c r="D65" s="30">
        <f t="shared" ref="D65:L65" si="34">D64+D63+D62+D61+D60</f>
        <v>1925111</v>
      </c>
      <c r="E65" s="30">
        <f t="shared" si="34"/>
        <v>1963239</v>
      </c>
      <c r="F65" s="30">
        <f t="shared" si="34"/>
        <v>2023918</v>
      </c>
      <c r="G65" s="30">
        <f t="shared" si="34"/>
        <v>0</v>
      </c>
      <c r="H65" s="30">
        <f t="shared" si="34"/>
        <v>0</v>
      </c>
      <c r="I65" s="30">
        <f t="shared" si="34"/>
        <v>0</v>
      </c>
      <c r="J65" s="30">
        <f t="shared" si="34"/>
        <v>0</v>
      </c>
      <c r="K65" s="30">
        <f t="shared" si="34"/>
        <v>0</v>
      </c>
      <c r="L65" s="30">
        <f t="shared" si="34"/>
        <v>0</v>
      </c>
    </row>
    <row r="66" spans="1:12">
      <c r="B66" s="2" t="s">
        <v>71</v>
      </c>
    </row>
    <row r="67" spans="1:12">
      <c r="B67" s="1" t="s">
        <v>72</v>
      </c>
      <c r="C67" s="22">
        <v>0</v>
      </c>
      <c r="D67" s="22">
        <v>0</v>
      </c>
      <c r="E67" s="22">
        <v>0</v>
      </c>
      <c r="F67" s="22">
        <v>0</v>
      </c>
    </row>
    <row r="68" spans="1:12">
      <c r="B68" s="1" t="s">
        <v>73</v>
      </c>
      <c r="C68" s="22">
        <v>117</v>
      </c>
      <c r="D68" s="22">
        <v>118</v>
      </c>
      <c r="E68" s="22">
        <v>111</v>
      </c>
      <c r="F68" s="22">
        <v>105</v>
      </c>
    </row>
    <row r="69" spans="1:12">
      <c r="B69" s="1" t="s">
        <v>74</v>
      </c>
      <c r="C69" s="22">
        <v>670966</v>
      </c>
      <c r="D69" s="22">
        <v>686648</v>
      </c>
      <c r="E69" s="22">
        <v>704701</v>
      </c>
      <c r="F69" s="22">
        <v>726345</v>
      </c>
    </row>
    <row r="70" spans="1:12">
      <c r="B70" s="1" t="s">
        <v>75</v>
      </c>
      <c r="C70" s="22">
        <v>-4682</v>
      </c>
      <c r="D70" s="22">
        <v>-8474</v>
      </c>
      <c r="E70" s="22">
        <v>-3758</v>
      </c>
      <c r="F70" s="22">
        <v>0</v>
      </c>
    </row>
    <row r="71" spans="1:12">
      <c r="B71" s="1" t="s">
        <v>76</v>
      </c>
      <c r="C71" s="22">
        <v>-84449</v>
      </c>
      <c r="D71" s="22">
        <v>203001</v>
      </c>
      <c r="E71" s="22">
        <v>258822</v>
      </c>
      <c r="F71" s="22">
        <v>320012</v>
      </c>
    </row>
    <row r="72" spans="1:12">
      <c r="B72" s="29" t="s">
        <v>77</v>
      </c>
      <c r="C72" s="32">
        <f>C71+C70+C69+C68+C67</f>
        <v>581952</v>
      </c>
      <c r="D72" s="32">
        <f t="shared" ref="D72:L72" si="35">D71+D70+D69+D68+D67</f>
        <v>881293</v>
      </c>
      <c r="E72" s="32">
        <f t="shared" si="35"/>
        <v>959876</v>
      </c>
      <c r="F72" s="32">
        <f t="shared" si="35"/>
        <v>1046462</v>
      </c>
      <c r="G72" s="32">
        <f t="shared" si="35"/>
        <v>0</v>
      </c>
      <c r="H72" s="32">
        <f t="shared" si="35"/>
        <v>0</v>
      </c>
      <c r="I72" s="32">
        <f t="shared" si="35"/>
        <v>0</v>
      </c>
      <c r="J72" s="32">
        <f t="shared" si="35"/>
        <v>0</v>
      </c>
      <c r="K72" s="32">
        <f t="shared" si="35"/>
        <v>0</v>
      </c>
      <c r="L72" s="32">
        <f t="shared" si="35"/>
        <v>0</v>
      </c>
    </row>
    <row r="74" spans="1:12">
      <c r="B74" s="29" t="s">
        <v>78</v>
      </c>
      <c r="C74" s="30">
        <f>C72+C65</f>
        <v>2722983</v>
      </c>
      <c r="D74" s="30">
        <f t="shared" ref="D74:L74" si="36">D72+D65</f>
        <v>2806404</v>
      </c>
      <c r="E74" s="30">
        <f t="shared" si="36"/>
        <v>2923115</v>
      </c>
      <c r="F74" s="30">
        <f t="shared" si="36"/>
        <v>3070380</v>
      </c>
      <c r="G74" s="30">
        <f t="shared" si="36"/>
        <v>0</v>
      </c>
      <c r="H74" s="30">
        <f t="shared" si="36"/>
        <v>0</v>
      </c>
      <c r="I74" s="30">
        <f t="shared" si="36"/>
        <v>0</v>
      </c>
      <c r="J74" s="30">
        <f t="shared" si="36"/>
        <v>0</v>
      </c>
      <c r="K74" s="30">
        <f t="shared" si="36"/>
        <v>0</v>
      </c>
      <c r="L74" s="30">
        <f t="shared" si="36"/>
        <v>0</v>
      </c>
    </row>
    <row r="76" spans="1:12">
      <c r="A76" s="1" t="s">
        <v>9</v>
      </c>
      <c r="B76" s="21" t="s">
        <v>79</v>
      </c>
      <c r="C76" s="21">
        <v>2019</v>
      </c>
      <c r="D76" s="21">
        <v>2020</v>
      </c>
      <c r="E76" s="21">
        <v>2021</v>
      </c>
      <c r="F76" s="21">
        <v>2022</v>
      </c>
      <c r="G76" s="21">
        <v>2023</v>
      </c>
      <c r="H76" s="21">
        <v>2024</v>
      </c>
      <c r="I76" s="21">
        <v>2025</v>
      </c>
      <c r="J76" s="21">
        <v>2026</v>
      </c>
      <c r="K76" s="21">
        <v>2027</v>
      </c>
      <c r="L76" s="21">
        <v>2028</v>
      </c>
    </row>
    <row r="77" spans="1:12" ht="2.1" customHeight="1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</row>
    <row r="78" spans="1:12">
      <c r="B78" s="29" t="s">
        <v>80</v>
      </c>
      <c r="C78" s="32">
        <f>-'Cash Flow'!C26</f>
        <v>183232</v>
      </c>
      <c r="D78" s="32">
        <f>-'Cash Flow'!D26</f>
        <v>121968</v>
      </c>
      <c r="E78" s="32">
        <f>-'Cash Flow'!E26</f>
        <v>102378</v>
      </c>
      <c r="F78" s="32">
        <f>-'Cash Flow'!F26</f>
        <v>124010</v>
      </c>
      <c r="G78" s="32">
        <f>G79*G11</f>
        <v>153739.02145768495</v>
      </c>
      <c r="H78" s="32">
        <f t="shared" ref="H78:L78" si="37">H79*H11</f>
        <v>147518.42627975901</v>
      </c>
      <c r="I78" s="32">
        <f t="shared" si="37"/>
        <v>160259.54517620365</v>
      </c>
      <c r="J78" s="32">
        <f t="shared" si="37"/>
        <v>177335.30197871634</v>
      </c>
      <c r="K78" s="32">
        <f t="shared" si="37"/>
        <v>189861.40506936607</v>
      </c>
      <c r="L78" s="32">
        <f t="shared" si="37"/>
        <v>195905.73054400409</v>
      </c>
    </row>
    <row r="79" spans="1:12">
      <c r="B79" s="36" t="s">
        <v>81</v>
      </c>
      <c r="C79" s="46">
        <f>C78/C11</f>
        <v>3.2517722346794536E-2</v>
      </c>
      <c r="D79" s="46">
        <f>D78/D11</f>
        <v>1.8854930288792641E-2</v>
      </c>
      <c r="E79" s="46">
        <f>E78/E11</f>
        <v>1.6783639124053319E-2</v>
      </c>
      <c r="F79" s="46">
        <f>F78/F11</f>
        <v>1.9363785427209516E-2</v>
      </c>
      <c r="G79" s="46">
        <f>AVERAGE(C79:F79)</f>
        <v>2.1880019296712502E-2</v>
      </c>
      <c r="H79" s="46">
        <f t="shared" ref="H79:L79" si="38">AVERAGE(D79:G79)</f>
        <v>1.9220593534191994E-2</v>
      </c>
      <c r="I79" s="46">
        <f t="shared" si="38"/>
        <v>1.9312009345541833E-2</v>
      </c>
      <c r="J79" s="46">
        <f t="shared" si="38"/>
        <v>1.994410190091396E-2</v>
      </c>
      <c r="K79" s="46">
        <f t="shared" si="38"/>
        <v>2.0089181019340072E-2</v>
      </c>
      <c r="L79" s="46">
        <f t="shared" si="38"/>
        <v>1.9641471449996964E-2</v>
      </c>
    </row>
    <row r="80" spans="1:12">
      <c r="B80" s="29" t="s">
        <v>82</v>
      </c>
      <c r="C80" s="32">
        <f>'Cash Flow'!C7</f>
        <v>122804</v>
      </c>
      <c r="D80" s="32">
        <f>'Cash Flow'!D7</f>
        <v>126507</v>
      </c>
      <c r="E80" s="32">
        <f>'Cash Flow'!E7</f>
        <v>125541</v>
      </c>
      <c r="F80" s="32">
        <f>'Cash Flow'!F7</f>
        <v>127067</v>
      </c>
      <c r="G80" s="32">
        <f>G81*G78</f>
        <v>152137.29687733165</v>
      </c>
      <c r="H80" s="32">
        <f t="shared" ref="H80:L80" si="39">H81*H78</f>
        <v>157759.7909602836</v>
      </c>
      <c r="I80" s="32">
        <f t="shared" si="39"/>
        <v>172675.92833902681</v>
      </c>
      <c r="J80" s="32">
        <f t="shared" si="39"/>
        <v>184478.97959383242</v>
      </c>
      <c r="K80" s="32">
        <f t="shared" si="39"/>
        <v>198251.66572246276</v>
      </c>
      <c r="L80" s="32">
        <f t="shared" si="39"/>
        <v>207237.70037511655</v>
      </c>
    </row>
    <row r="81" spans="1:13">
      <c r="B81" s="36" t="s">
        <v>28</v>
      </c>
      <c r="C81" s="46">
        <f>C80/C78</f>
        <v>0.67021044359063919</v>
      </c>
      <c r="D81" s="46">
        <f t="shared" ref="D81:F81" si="40">D80/D78</f>
        <v>1.0372146792601338</v>
      </c>
      <c r="E81" s="46">
        <f t="shared" si="40"/>
        <v>1.2262497802262204</v>
      </c>
      <c r="F81" s="46">
        <f t="shared" si="40"/>
        <v>1.0246512378034029</v>
      </c>
      <c r="G81" s="49">
        <f>AVERAGE(C81:F81)</f>
        <v>0.98958153522009917</v>
      </c>
      <c r="H81" s="49">
        <f t="shared" ref="H81:L81" si="41">AVERAGE(D81:G81)</f>
        <v>1.0694243081274641</v>
      </c>
      <c r="I81" s="49">
        <f t="shared" si="41"/>
        <v>1.0774767153442966</v>
      </c>
      <c r="J81" s="49">
        <f t="shared" si="41"/>
        <v>1.0402834491238155</v>
      </c>
      <c r="K81" s="49">
        <f t="shared" si="41"/>
        <v>1.044191501953919</v>
      </c>
      <c r="L81" s="49">
        <f t="shared" si="41"/>
        <v>1.0578439936373738</v>
      </c>
      <c r="M81" s="23" t="s">
        <v>83</v>
      </c>
    </row>
    <row r="82" spans="1:13">
      <c r="B82" s="29" t="s">
        <v>84</v>
      </c>
      <c r="C82" s="32">
        <f>C80</f>
        <v>122804</v>
      </c>
      <c r="D82" s="32">
        <f t="shared" ref="D82:L82" si="42">D80</f>
        <v>126507</v>
      </c>
      <c r="E82" s="32">
        <f t="shared" si="42"/>
        <v>125541</v>
      </c>
      <c r="F82" s="32">
        <f>F80</f>
        <v>127067</v>
      </c>
      <c r="G82" s="32">
        <f t="shared" si="42"/>
        <v>152137.29687733165</v>
      </c>
      <c r="H82" s="32">
        <f t="shared" si="42"/>
        <v>157759.7909602836</v>
      </c>
      <c r="I82" s="32">
        <f t="shared" si="42"/>
        <v>172675.92833902681</v>
      </c>
      <c r="J82" s="32">
        <f t="shared" si="42"/>
        <v>184478.97959383242</v>
      </c>
      <c r="K82" s="32">
        <f t="shared" si="42"/>
        <v>198251.66572246276</v>
      </c>
      <c r="L82" s="32">
        <f t="shared" si="42"/>
        <v>207237.70037511655</v>
      </c>
    </row>
    <row r="84" spans="1:13">
      <c r="A84" s="1" t="s">
        <v>9</v>
      </c>
      <c r="B84" s="21" t="s">
        <v>85</v>
      </c>
      <c r="C84" s="21">
        <v>2019</v>
      </c>
      <c r="D84" s="21">
        <v>2020</v>
      </c>
      <c r="E84" s="21">
        <v>2021</v>
      </c>
      <c r="F84" s="21">
        <v>2022</v>
      </c>
      <c r="G84" s="21">
        <v>2023</v>
      </c>
      <c r="H84" s="21">
        <v>2024</v>
      </c>
      <c r="I84" s="21">
        <v>2025</v>
      </c>
      <c r="J84" s="21">
        <v>2026</v>
      </c>
      <c r="K84" s="21">
        <v>2027</v>
      </c>
      <c r="L84" s="21">
        <v>2028</v>
      </c>
    </row>
    <row r="85" spans="1:13">
      <c r="B85" s="37" t="s">
        <v>86</v>
      </c>
    </row>
    <row r="86" spans="1:13">
      <c r="B86" s="2" t="s">
        <v>87</v>
      </c>
      <c r="C86" s="23">
        <f>C42</f>
        <v>15713</v>
      </c>
      <c r="D86" s="23">
        <f>D42</f>
        <v>14815</v>
      </c>
      <c r="E86" s="23">
        <f>E42</f>
        <v>21574</v>
      </c>
      <c r="F86" s="23">
        <f>F42</f>
        <v>16108</v>
      </c>
      <c r="G86" s="23">
        <f>G87/365*G11</f>
        <v>19552.518495233537</v>
      </c>
      <c r="H86" s="23">
        <f>H87/365*H11</f>
        <v>21346.052194323631</v>
      </c>
      <c r="I86" s="23">
        <f t="shared" ref="G86:L86" si="43">I87/365*I11</f>
        <v>24098.564357426545</v>
      </c>
      <c r="J86" s="23">
        <f t="shared" si="43"/>
        <v>24414.466141999048</v>
      </c>
      <c r="K86" s="23">
        <f t="shared" si="43"/>
        <v>26494.990091163752</v>
      </c>
      <c r="L86" s="23">
        <f t="shared" si="43"/>
        <v>28013.311581146088</v>
      </c>
    </row>
    <row r="87" spans="1:13">
      <c r="B87" s="36" t="s">
        <v>88</v>
      </c>
      <c r="C87" s="47">
        <f>(C86/C11)*365</f>
        <v>1.0178195102429797</v>
      </c>
      <c r="D87" s="47">
        <f>(D86/D11)*365</f>
        <v>0.83593700120842351</v>
      </c>
      <c r="E87" s="47">
        <f>(E86/E11)*365</f>
        <v>1.2909310019608617</v>
      </c>
      <c r="F87" s="47">
        <f>(F86/F11)*365</f>
        <v>0.91805360306785067</v>
      </c>
      <c r="G87" s="47">
        <f>AVERAGE(C87:F87)</f>
        <v>1.0156852791200288</v>
      </c>
      <c r="H87" s="47">
        <f>AVERAGE(D87:G87)</f>
        <v>1.0151517213392913</v>
      </c>
      <c r="I87" s="47">
        <f t="shared" ref="H87:L87" si="44">AVERAGE(E87:H87)</f>
        <v>1.0599554013720081</v>
      </c>
      <c r="J87" s="47">
        <f t="shared" si="44"/>
        <v>1.0022115012247947</v>
      </c>
      <c r="K87" s="47">
        <f t="shared" si="44"/>
        <v>1.0232509757640307</v>
      </c>
      <c r="L87" s="47">
        <f t="shared" si="44"/>
        <v>1.0251423999250311</v>
      </c>
    </row>
    <row r="88" spans="1:13">
      <c r="B88" s="2" t="s">
        <v>89</v>
      </c>
      <c r="C88" s="23">
        <f>C43</f>
        <v>275979</v>
      </c>
      <c r="D88" s="23">
        <f>D43</f>
        <v>254224</v>
      </c>
      <c r="E88" s="23">
        <f>E43</f>
        <v>265387</v>
      </c>
      <c r="F88" s="23">
        <f>F43</f>
        <v>310545</v>
      </c>
      <c r="G88" s="23">
        <f t="shared" ref="G88:L88" si="45">G89/365*G13</f>
        <v>312869.16691759834</v>
      </c>
      <c r="H88" s="23">
        <f>H89/365*H13</f>
        <v>341747.88073188445</v>
      </c>
      <c r="I88" s="23">
        <f t="shared" si="45"/>
        <v>369507.10785593343</v>
      </c>
      <c r="J88" s="23">
        <f t="shared" si="45"/>
        <v>395919.66045200021</v>
      </c>
      <c r="K88" s="23">
        <f t="shared" si="45"/>
        <v>420824.30263381003</v>
      </c>
      <c r="L88" s="23">
        <f t="shared" si="45"/>
        <v>444119.12336196023</v>
      </c>
    </row>
    <row r="89" spans="1:13">
      <c r="B89" s="36" t="s">
        <v>90</v>
      </c>
      <c r="C89" s="47">
        <f>(C88/C13)*365</f>
        <v>26.933656986051133</v>
      </c>
      <c r="D89" s="47">
        <f>(D88/D13)*365</f>
        <v>22.690412205004563</v>
      </c>
      <c r="E89" s="47">
        <f>(E88/E13)*365</f>
        <v>24.897145906205562</v>
      </c>
      <c r="F89" s="47">
        <f>(F88/F13)*365</f>
        <v>27.948337125976323</v>
      </c>
      <c r="G89" s="47">
        <f>AVERAGE(C89:F89)</f>
        <v>25.617388055809396</v>
      </c>
      <c r="H89" s="47">
        <f>G89</f>
        <v>25.617388055809396</v>
      </c>
      <c r="I89" s="47">
        <f>H89</f>
        <v>25.617388055809396</v>
      </c>
      <c r="J89" s="47">
        <f>I89</f>
        <v>25.617388055809396</v>
      </c>
      <c r="K89" s="47">
        <f>J89</f>
        <v>25.617388055809396</v>
      </c>
      <c r="L89" s="47">
        <f>K89</f>
        <v>25.617388055809396</v>
      </c>
    </row>
    <row r="90" spans="1:13">
      <c r="B90" s="2" t="s">
        <v>91</v>
      </c>
      <c r="C90" s="23">
        <f>C44</f>
        <v>10833</v>
      </c>
      <c r="D90" s="23">
        <f>D44</f>
        <v>27224</v>
      </c>
      <c r="E90" s="23">
        <f>E44</f>
        <v>35468</v>
      </c>
      <c r="F90" s="23">
        <f>F44</f>
        <v>53918</v>
      </c>
      <c r="G90" s="23">
        <f>G17*G91</f>
        <v>35500.169769387569</v>
      </c>
      <c r="H90" s="23">
        <f>H17*H91</f>
        <v>38776.936391132447</v>
      </c>
      <c r="I90" s="23">
        <f t="shared" ref="G90:L90" si="46">I17*I91</f>
        <v>41926.678774760403</v>
      </c>
      <c r="J90" s="23">
        <f t="shared" si="46"/>
        <v>44923.618711159448</v>
      </c>
      <c r="K90" s="23">
        <f t="shared" si="46"/>
        <v>47749.461328412151</v>
      </c>
      <c r="L90" s="23">
        <f t="shared" si="46"/>
        <v>50392.643137422376</v>
      </c>
    </row>
    <row r="91" spans="1:13">
      <c r="B91" s="36" t="s">
        <v>92</v>
      </c>
      <c r="C91" s="47">
        <f>C90/C17</f>
        <v>6.9903536604016114E-3</v>
      </c>
      <c r="D91" s="47">
        <f>D90/D17</f>
        <v>1.4606176721647284E-2</v>
      </c>
      <c r="E91" s="47">
        <f>E90/E17</f>
        <v>2.028823850749769E-2</v>
      </c>
      <c r="F91" s="47">
        <f>F90/F17</f>
        <v>2.9056141544009671E-2</v>
      </c>
      <c r="G91" s="47">
        <f>AVERAGE(C91:F91)</f>
        <v>1.7735227608389064E-2</v>
      </c>
      <c r="H91" s="47">
        <f>G91</f>
        <v>1.7735227608389064E-2</v>
      </c>
      <c r="I91" s="47">
        <f>H91</f>
        <v>1.7735227608389064E-2</v>
      </c>
      <c r="J91" s="47">
        <f>I91</f>
        <v>1.7735227608389064E-2</v>
      </c>
      <c r="K91" s="47">
        <f>J91</f>
        <v>1.7735227608389064E-2</v>
      </c>
      <c r="L91" s="47">
        <f>K91</f>
        <v>1.7735227608389064E-2</v>
      </c>
    </row>
    <row r="92" spans="1:13">
      <c r="B92" s="29" t="s">
        <v>93</v>
      </c>
      <c r="C92" s="32">
        <f>C86+C88+C90</f>
        <v>302525</v>
      </c>
      <c r="D92" s="32">
        <f t="shared" ref="D92:L92" si="47">D86+D88+D90</f>
        <v>296263</v>
      </c>
      <c r="E92" s="32">
        <f t="shared" si="47"/>
        <v>322429</v>
      </c>
      <c r="F92" s="32">
        <f t="shared" si="47"/>
        <v>380571</v>
      </c>
      <c r="G92" s="32">
        <f t="shared" si="47"/>
        <v>367921.85518221947</v>
      </c>
      <c r="H92" s="32">
        <f t="shared" si="47"/>
        <v>401870.86931734055</v>
      </c>
      <c r="I92" s="32">
        <f t="shared" si="47"/>
        <v>435532.35098812036</v>
      </c>
      <c r="J92" s="32">
        <f t="shared" si="47"/>
        <v>465257.74530515872</v>
      </c>
      <c r="K92" s="32">
        <f t="shared" si="47"/>
        <v>495068.75405338593</v>
      </c>
      <c r="L92" s="32">
        <f t="shared" si="47"/>
        <v>522525.07808052871</v>
      </c>
    </row>
    <row r="93" spans="1:13">
      <c r="B93" s="37" t="s">
        <v>94</v>
      </c>
    </row>
    <row r="94" spans="1:13">
      <c r="B94" s="2" t="s">
        <v>95</v>
      </c>
      <c r="C94" s="23">
        <f>C54</f>
        <v>122839</v>
      </c>
      <c r="D94" s="23">
        <f>D54</f>
        <v>139337</v>
      </c>
      <c r="E94" s="23">
        <f>E54</f>
        <v>145901</v>
      </c>
      <c r="F94" s="23">
        <f>F54</f>
        <v>172904</v>
      </c>
      <c r="G94" s="23">
        <f>G95/365*G13</f>
        <v>167376.81476315795</v>
      </c>
      <c r="H94" s="23">
        <f t="shared" ref="G94:L94" si="48">H95/365*H13</f>
        <v>182826.17073617739</v>
      </c>
      <c r="I94" s="23">
        <f t="shared" si="48"/>
        <v>197676.6306331543</v>
      </c>
      <c r="J94" s="23">
        <f t="shared" si="48"/>
        <v>211806.65490767278</v>
      </c>
      <c r="K94" s="23">
        <f t="shared" si="48"/>
        <v>225129.98658102166</v>
      </c>
      <c r="L94" s="23">
        <f t="shared" si="48"/>
        <v>237592.10591470296</v>
      </c>
    </row>
    <row r="95" spans="1:13">
      <c r="B95" s="36" t="s">
        <v>96</v>
      </c>
      <c r="C95" s="47">
        <f>(C94/C13)*360</f>
        <v>11.824021120759612</v>
      </c>
      <c r="D95" s="47">
        <f>(D94/D13)*360</f>
        <v>12.265970895984077</v>
      </c>
      <c r="E95" s="47">
        <f>(E94/E13)*360</f>
        <v>13.500126071252232</v>
      </c>
      <c r="F95" s="47">
        <f>(F94/F13)*360</f>
        <v>15.347799210929715</v>
      </c>
      <c r="G95" s="47">
        <f>AVERAGE(D95:F95)</f>
        <v>13.704632059388674</v>
      </c>
      <c r="H95" s="47">
        <f>G95</f>
        <v>13.704632059388674</v>
      </c>
      <c r="I95" s="47">
        <f>H95</f>
        <v>13.704632059388674</v>
      </c>
      <c r="J95" s="47">
        <f>I95</f>
        <v>13.704632059388674</v>
      </c>
      <c r="K95" s="47">
        <f>J95</f>
        <v>13.704632059388674</v>
      </c>
      <c r="L95" s="47">
        <f>K95</f>
        <v>13.704632059388674</v>
      </c>
    </row>
    <row r="96" spans="1:13">
      <c r="B96" s="2" t="s">
        <v>97</v>
      </c>
      <c r="C96" s="23">
        <f>C55</f>
        <v>136482</v>
      </c>
      <c r="D96" s="23">
        <f>D55</f>
        <v>143402</v>
      </c>
      <c r="E96" s="23">
        <f>E55</f>
        <v>155996</v>
      </c>
      <c r="F96" s="23">
        <f>F55</f>
        <v>151306</v>
      </c>
      <c r="G96" s="23">
        <f>G97*G11</f>
        <v>167913.26803612919</v>
      </c>
      <c r="H96" s="23">
        <f t="shared" ref="H96:L96" si="49">H97*H11</f>
        <v>183412.14017175903</v>
      </c>
      <c r="I96" s="23">
        <f t="shared" si="49"/>
        <v>198310.19673156014</v>
      </c>
      <c r="J96" s="23">
        <f t="shared" si="49"/>
        <v>212485.50862718641</v>
      </c>
      <c r="K96" s="23">
        <f t="shared" si="49"/>
        <v>225851.54242085683</v>
      </c>
      <c r="L96" s="23">
        <f t="shared" si="49"/>
        <v>238353.60363486467</v>
      </c>
    </row>
    <row r="97" spans="2:12">
      <c r="B97" s="36" t="s">
        <v>81</v>
      </c>
      <c r="C97" s="46">
        <f>C96/C11</f>
        <v>2.4221117388530455E-2</v>
      </c>
      <c r="D97" s="46">
        <f>D96/D11</f>
        <v>2.2168394277789605E-2</v>
      </c>
      <c r="E97" s="46">
        <f>E96/E11</f>
        <v>2.557366395901289E-2</v>
      </c>
      <c r="F97" s="46">
        <f>F96/F11</f>
        <v>2.362597304934572E-2</v>
      </c>
      <c r="G97" s="46">
        <f>AVERAGE(C97:F97)</f>
        <v>2.3897287168669668E-2</v>
      </c>
      <c r="H97" s="46">
        <f>G97</f>
        <v>2.3897287168669668E-2</v>
      </c>
      <c r="I97" s="46">
        <f>H97</f>
        <v>2.3897287168669668E-2</v>
      </c>
      <c r="J97" s="46">
        <f>I97</f>
        <v>2.3897287168669668E-2</v>
      </c>
      <c r="K97" s="46">
        <f>J97</f>
        <v>2.3897287168669668E-2</v>
      </c>
      <c r="L97" s="46">
        <f>K97</f>
        <v>2.3897287168669668E-2</v>
      </c>
    </row>
    <row r="98" spans="2:12">
      <c r="B98" s="29" t="s">
        <v>98</v>
      </c>
      <c r="C98" s="31">
        <f>C94+C96</f>
        <v>259321</v>
      </c>
      <c r="D98" s="31">
        <f>D94+D96</f>
        <v>282739</v>
      </c>
      <c r="E98" s="31">
        <f t="shared" ref="D98:L98" si="50">E94+E96</f>
        <v>301897</v>
      </c>
      <c r="F98" s="31">
        <f t="shared" si="50"/>
        <v>324210</v>
      </c>
      <c r="G98" s="31">
        <f t="shared" si="50"/>
        <v>335290.08279928716</v>
      </c>
      <c r="H98" s="31">
        <f t="shared" si="50"/>
        <v>366238.31090793642</v>
      </c>
      <c r="I98" s="31">
        <f t="shared" si="50"/>
        <v>395986.82736471447</v>
      </c>
      <c r="J98" s="31">
        <f t="shared" si="50"/>
        <v>424292.1635348592</v>
      </c>
      <c r="K98" s="31">
        <f t="shared" si="50"/>
        <v>450981.52900187846</v>
      </c>
      <c r="L98" s="31">
        <f t="shared" si="50"/>
        <v>475945.70954956766</v>
      </c>
    </row>
    <row r="99" spans="2:12">
      <c r="B99" s="1" t="s">
        <v>85</v>
      </c>
      <c r="C99" s="23">
        <f>C92-C98</f>
        <v>43204</v>
      </c>
      <c r="D99" s="23">
        <f>D92-D98</f>
        <v>13524</v>
      </c>
      <c r="E99" s="23">
        <f t="shared" ref="D99:L99" si="51">E92-E98</f>
        <v>20532</v>
      </c>
      <c r="F99" s="23">
        <f t="shared" si="51"/>
        <v>56361</v>
      </c>
      <c r="G99" s="23">
        <f t="shared" si="51"/>
        <v>32631.772382932308</v>
      </c>
      <c r="H99" s="23">
        <f t="shared" si="51"/>
        <v>35632.558409404126</v>
      </c>
      <c r="I99" s="23">
        <f t="shared" si="51"/>
        <v>39545.523623405898</v>
      </c>
      <c r="J99" s="23">
        <f t="shared" si="51"/>
        <v>40965.581770299526</v>
      </c>
      <c r="K99" s="23">
        <f t="shared" si="51"/>
        <v>44087.22505150747</v>
      </c>
      <c r="L99" s="23">
        <f t="shared" si="51"/>
        <v>46579.368530961045</v>
      </c>
    </row>
    <row r="100" spans="2:12">
      <c r="B100" s="29" t="s">
        <v>99</v>
      </c>
      <c r="C100" s="32"/>
      <c r="D100" s="32">
        <f>D99-C99</f>
        <v>-29680</v>
      </c>
      <c r="E100" s="32">
        <f t="shared" ref="E100:L100" si="52">E99-D99</f>
        <v>7008</v>
      </c>
      <c r="F100" s="32">
        <f t="shared" si="52"/>
        <v>35829</v>
      </c>
      <c r="G100" s="32">
        <f t="shared" si="52"/>
        <v>-23729.227617067692</v>
      </c>
      <c r="H100" s="32">
        <f t="shared" si="52"/>
        <v>3000.7860264718183</v>
      </c>
      <c r="I100" s="32">
        <f t="shared" si="52"/>
        <v>3912.9652140017715</v>
      </c>
      <c r="J100" s="32">
        <f t="shared" si="52"/>
        <v>1420.0581468936289</v>
      </c>
      <c r="K100" s="32">
        <f t="shared" si="52"/>
        <v>3121.6432812079438</v>
      </c>
      <c r="L100" s="32">
        <f t="shared" si="52"/>
        <v>2492.1434794535744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59540-E41E-D04D-ACD4-E3FE9D7A7B3D}">
  <dimension ref="B1:F47"/>
  <sheetViews>
    <sheetView showGridLines="0" zoomScaleNormal="100" workbookViewId="0">
      <selection activeCell="B26" sqref="B26:F26"/>
    </sheetView>
  </sheetViews>
  <sheetFormatPr defaultColWidth="8.85546875" defaultRowHeight="14.45"/>
  <cols>
    <col min="1" max="1" width="2.42578125" style="1" customWidth="1"/>
    <col min="2" max="2" width="68.85546875" style="1" customWidth="1"/>
    <col min="3" max="6" width="11.5703125" style="23" customWidth="1"/>
    <col min="7" max="16384" width="8.85546875" style="1"/>
  </cols>
  <sheetData>
    <row r="1" spans="2:6">
      <c r="C1" s="1"/>
      <c r="D1" s="1"/>
      <c r="E1" s="1"/>
      <c r="F1" s="1"/>
    </row>
    <row r="2" spans="2:6">
      <c r="B2" s="21" t="s">
        <v>0</v>
      </c>
      <c r="C2" s="21"/>
      <c r="D2" s="21"/>
      <c r="E2" s="21"/>
      <c r="F2" s="21"/>
    </row>
    <row r="3" spans="2:6">
      <c r="B3" s="21" t="s">
        <v>100</v>
      </c>
      <c r="C3" s="21">
        <v>2019</v>
      </c>
      <c r="D3" s="21">
        <v>2020</v>
      </c>
      <c r="E3" s="21">
        <v>2021</v>
      </c>
      <c r="F3" s="21">
        <v>2022</v>
      </c>
    </row>
    <row r="4" spans="2:6">
      <c r="B4" s="37" t="s">
        <v>101</v>
      </c>
    </row>
    <row r="5" spans="2:6">
      <c r="B5" s="1" t="s">
        <v>102</v>
      </c>
      <c r="C5" s="26">
        <v>149629</v>
      </c>
      <c r="D5" s="26">
        <v>287450</v>
      </c>
      <c r="E5" s="26">
        <v>244157</v>
      </c>
      <c r="F5" s="26">
        <v>261164</v>
      </c>
    </row>
    <row r="6" spans="2:6">
      <c r="B6" s="2" t="s">
        <v>103</v>
      </c>
    </row>
    <row r="7" spans="2:6">
      <c r="B7" s="1" t="s">
        <v>104</v>
      </c>
      <c r="C7" s="23">
        <v>122804</v>
      </c>
      <c r="D7" s="23">
        <v>126507</v>
      </c>
      <c r="E7" s="23">
        <v>125541</v>
      </c>
      <c r="F7" s="23">
        <v>127067</v>
      </c>
    </row>
    <row r="8" spans="2:6">
      <c r="B8" s="1" t="s">
        <v>105</v>
      </c>
      <c r="C8" s="23">
        <v>81842</v>
      </c>
      <c r="D8" s="23">
        <v>99276</v>
      </c>
      <c r="E8" s="23">
        <v>108517</v>
      </c>
      <c r="F8" s="23">
        <v>117315</v>
      </c>
    </row>
    <row r="9" spans="2:6">
      <c r="B9" s="1" t="s">
        <v>106</v>
      </c>
      <c r="C9" s="23">
        <v>4113</v>
      </c>
      <c r="D9" s="23">
        <v>-321</v>
      </c>
      <c r="E9" s="23">
        <v>4762</v>
      </c>
      <c r="F9" s="23">
        <v>8066</v>
      </c>
    </row>
    <row r="10" spans="2:6">
      <c r="B10" s="1" t="s">
        <v>107</v>
      </c>
      <c r="C10" s="23">
        <v>8949</v>
      </c>
      <c r="D10" s="23">
        <v>14339</v>
      </c>
      <c r="E10" s="23">
        <v>15883</v>
      </c>
      <c r="F10" s="23">
        <v>16603</v>
      </c>
    </row>
    <row r="11" spans="2:6">
      <c r="B11" s="1" t="s">
        <v>108</v>
      </c>
      <c r="C11" s="23">
        <v>-216</v>
      </c>
      <c r="D11" s="23">
        <v>3717</v>
      </c>
      <c r="E11" s="23">
        <v>-178</v>
      </c>
      <c r="F11" s="23">
        <v>3228</v>
      </c>
    </row>
    <row r="12" spans="2:6">
      <c r="B12" s="1" t="s">
        <v>109</v>
      </c>
      <c r="C12" s="23">
        <v>4136</v>
      </c>
      <c r="D12" s="23">
        <v>3683</v>
      </c>
      <c r="E12" s="23">
        <v>1167</v>
      </c>
      <c r="F12" s="23">
        <v>672</v>
      </c>
    </row>
    <row r="13" spans="2:6">
      <c r="B13" s="1" t="s">
        <v>110</v>
      </c>
    </row>
    <row r="14" spans="2:6">
      <c r="B14" s="1" t="s">
        <v>111</v>
      </c>
      <c r="C14" s="23">
        <v>36062</v>
      </c>
      <c r="D14" s="23">
        <v>25977</v>
      </c>
      <c r="E14" s="23">
        <v>16928</v>
      </c>
      <c r="F14" s="23">
        <v>13381</v>
      </c>
    </row>
    <row r="15" spans="2:6">
      <c r="B15" s="1" t="s">
        <v>48</v>
      </c>
      <c r="C15" s="23">
        <v>-11612</v>
      </c>
      <c r="D15" s="23">
        <v>21754</v>
      </c>
      <c r="E15" s="23">
        <v>-11417</v>
      </c>
      <c r="F15" s="23">
        <v>-45158</v>
      </c>
    </row>
    <row r="16" spans="2:6">
      <c r="B16" s="1" t="s">
        <v>112</v>
      </c>
      <c r="C16" s="23">
        <v>19208</v>
      </c>
      <c r="D16" s="23">
        <v>-14970</v>
      </c>
      <c r="E16" s="23">
        <v>-5879</v>
      </c>
      <c r="F16" s="23">
        <v>-18467</v>
      </c>
    </row>
    <row r="17" spans="2:6">
      <c r="B17" s="1" t="s">
        <v>55</v>
      </c>
      <c r="C17" s="23">
        <v>-1275</v>
      </c>
      <c r="D17" s="23">
        <v>-5461</v>
      </c>
      <c r="E17" s="23">
        <v>-1782</v>
      </c>
      <c r="F17" s="23">
        <v>2039</v>
      </c>
    </row>
    <row r="18" spans="2:6">
      <c r="B18" s="1" t="s">
        <v>59</v>
      </c>
      <c r="C18" s="23">
        <v>9420</v>
      </c>
      <c r="D18" s="23">
        <v>20184</v>
      </c>
      <c r="E18" s="23">
        <v>4523</v>
      </c>
      <c r="F18" s="23">
        <v>13362</v>
      </c>
    </row>
    <row r="19" spans="2:6">
      <c r="B19" s="1" t="s">
        <v>113</v>
      </c>
      <c r="C19" s="23">
        <v>17274</v>
      </c>
      <c r="D19" s="23">
        <v>4296</v>
      </c>
      <c r="E19" s="23">
        <v>610</v>
      </c>
      <c r="F19" s="23">
        <v>5416</v>
      </c>
    </row>
    <row r="20" spans="2:6">
      <c r="B20" s="1" t="s">
        <v>61</v>
      </c>
      <c r="C20" s="23">
        <v>295</v>
      </c>
      <c r="D20" s="23">
        <v>28116</v>
      </c>
      <c r="E20" s="23">
        <v>-17951</v>
      </c>
      <c r="F20" s="23">
        <v>2831</v>
      </c>
    </row>
    <row r="21" spans="2:6">
      <c r="B21" s="1" t="s">
        <v>62</v>
      </c>
      <c r="C21" s="23">
        <v>2005</v>
      </c>
      <c r="D21" s="23">
        <v>-2005</v>
      </c>
      <c r="E21" s="23">
        <v>0</v>
      </c>
      <c r="F21" s="23">
        <v>0</v>
      </c>
    </row>
    <row r="22" spans="2:6">
      <c r="B22" s="1" t="s">
        <v>114</v>
      </c>
      <c r="C22" s="23">
        <v>-88002</v>
      </c>
      <c r="D22" s="23">
        <v>-120085</v>
      </c>
      <c r="E22" s="23">
        <v>-120483</v>
      </c>
      <c r="F22" s="23">
        <v>-132889</v>
      </c>
    </row>
    <row r="23" spans="2:6">
      <c r="B23" s="1" t="s">
        <v>68</v>
      </c>
      <c r="C23" s="23">
        <v>578</v>
      </c>
      <c r="D23" s="23">
        <v>1578</v>
      </c>
      <c r="E23" s="23">
        <v>401</v>
      </c>
      <c r="F23" s="23">
        <v>-3301</v>
      </c>
    </row>
    <row r="24" spans="2:6">
      <c r="B24" s="29" t="s">
        <v>101</v>
      </c>
      <c r="C24" s="32">
        <f>SUM(C5:C23)</f>
        <v>355210</v>
      </c>
      <c r="D24" s="32">
        <f t="shared" ref="D24:F24" si="0">SUM(D5:D23)</f>
        <v>494035</v>
      </c>
      <c r="E24" s="32">
        <f t="shared" si="0"/>
        <v>364799</v>
      </c>
      <c r="F24" s="32">
        <f t="shared" si="0"/>
        <v>371329</v>
      </c>
    </row>
    <row r="25" spans="2:6">
      <c r="B25" s="37" t="s">
        <v>115</v>
      </c>
    </row>
    <row r="26" spans="2:6">
      <c r="B26" s="1" t="s">
        <v>116</v>
      </c>
      <c r="C26" s="23">
        <v>-183232</v>
      </c>
      <c r="D26" s="23">
        <v>-121968</v>
      </c>
      <c r="E26" s="23">
        <v>-102378</v>
      </c>
      <c r="F26" s="23">
        <v>-124010</v>
      </c>
    </row>
    <row r="27" spans="2:6">
      <c r="B27" s="29" t="s">
        <v>117</v>
      </c>
      <c r="C27" s="32">
        <f>SUM(C26)</f>
        <v>-183232</v>
      </c>
      <c r="D27" s="32">
        <f t="shared" ref="D27:F27" si="1">SUM(D26)</f>
        <v>-121968</v>
      </c>
      <c r="E27" s="32">
        <f t="shared" si="1"/>
        <v>-102378</v>
      </c>
      <c r="F27" s="32">
        <f t="shared" si="1"/>
        <v>-124010</v>
      </c>
    </row>
    <row r="28" spans="2:6">
      <c r="B28" s="37" t="s">
        <v>118</v>
      </c>
    </row>
    <row r="29" spans="2:6">
      <c r="B29" s="1" t="s">
        <v>119</v>
      </c>
      <c r="C29" s="23">
        <v>265405</v>
      </c>
      <c r="D29" s="23">
        <v>0</v>
      </c>
      <c r="E29" s="23">
        <v>0</v>
      </c>
      <c r="F29" s="23">
        <v>62500</v>
      </c>
    </row>
    <row r="30" spans="2:6">
      <c r="B30" s="1" t="s">
        <v>120</v>
      </c>
      <c r="C30" s="23">
        <v>-180405</v>
      </c>
      <c r="D30" s="23">
        <v>-288000</v>
      </c>
      <c r="E30" s="23">
        <v>0</v>
      </c>
      <c r="F30" s="23">
        <v>-62500</v>
      </c>
    </row>
    <row r="31" spans="2:6">
      <c r="B31" s="1" t="s">
        <v>121</v>
      </c>
      <c r="C31" s="23">
        <v>-690</v>
      </c>
      <c r="D31" s="23">
        <v>-754</v>
      </c>
      <c r="E31" s="23">
        <v>-685</v>
      </c>
      <c r="F31" s="23">
        <v>-819</v>
      </c>
    </row>
    <row r="32" spans="2:6">
      <c r="B32" s="1" t="s">
        <v>122</v>
      </c>
      <c r="C32" s="23">
        <v>0</v>
      </c>
      <c r="D32" s="23">
        <v>0</v>
      </c>
      <c r="E32" s="23">
        <v>0</v>
      </c>
      <c r="F32" s="23">
        <v>-3373</v>
      </c>
    </row>
    <row r="33" spans="2:6">
      <c r="B33" s="1" t="s">
        <v>123</v>
      </c>
      <c r="C33" s="23">
        <v>-176310</v>
      </c>
      <c r="D33" s="23">
        <v>0</v>
      </c>
      <c r="E33" s="23">
        <v>-188343</v>
      </c>
      <c r="F33" s="23">
        <v>-199980</v>
      </c>
    </row>
    <row r="34" spans="2:6">
      <c r="B34" s="1" t="s">
        <v>124</v>
      </c>
      <c r="C34" s="23">
        <v>4878</v>
      </c>
      <c r="D34" s="23">
        <v>1343</v>
      </c>
      <c r="E34" s="23">
        <v>2170</v>
      </c>
      <c r="F34" s="23">
        <v>5041</v>
      </c>
    </row>
    <row r="35" spans="2:6">
      <c r="B35" s="1" t="s">
        <v>125</v>
      </c>
      <c r="C35" s="23">
        <v>-319</v>
      </c>
      <c r="D35" s="23">
        <v>0</v>
      </c>
      <c r="E35" s="23">
        <v>0</v>
      </c>
      <c r="F35" s="23">
        <v>0</v>
      </c>
    </row>
    <row r="36" spans="2:6">
      <c r="B36" s="29" t="s">
        <v>126</v>
      </c>
      <c r="C36" s="32">
        <f>SUM(C29:C35)</f>
        <v>-87441</v>
      </c>
      <c r="D36" s="32">
        <f>SUM(D29:D35)</f>
        <v>-287411</v>
      </c>
      <c r="E36" s="32">
        <f>SUM(E29:E35)</f>
        <v>-186858</v>
      </c>
      <c r="F36" s="32">
        <f>SUM(F29:F35)</f>
        <v>-199131</v>
      </c>
    </row>
    <row r="37" spans="2:6">
      <c r="B37" s="28" t="s">
        <v>127</v>
      </c>
      <c r="C37" s="35">
        <v>84537</v>
      </c>
      <c r="D37" s="35">
        <v>84656</v>
      </c>
      <c r="E37" s="35">
        <v>75563</v>
      </c>
      <c r="F37" s="35">
        <v>48188</v>
      </c>
    </row>
    <row r="38" spans="2:6">
      <c r="B38" s="1" t="s">
        <v>128</v>
      </c>
      <c r="C38" s="23">
        <v>2248</v>
      </c>
      <c r="D38" s="23">
        <f>C39</f>
        <v>86785</v>
      </c>
      <c r="E38" s="23">
        <f t="shared" ref="E38:F38" si="2">D39</f>
        <v>171441</v>
      </c>
      <c r="F38" s="23">
        <f t="shared" si="2"/>
        <v>247004</v>
      </c>
    </row>
    <row r="39" spans="2:6">
      <c r="B39" s="1" t="s">
        <v>129</v>
      </c>
      <c r="C39" s="26">
        <f>SUM(C37:C38)</f>
        <v>86785</v>
      </c>
      <c r="D39" s="26">
        <f t="shared" ref="D39:F39" si="3">SUM(D37:D38)</f>
        <v>171441</v>
      </c>
      <c r="E39" s="26">
        <f t="shared" si="3"/>
        <v>247004</v>
      </c>
      <c r="F39" s="26">
        <f t="shared" si="3"/>
        <v>295192</v>
      </c>
    </row>
    <row r="41" spans="2:6">
      <c r="B41" s="2" t="s">
        <v>130</v>
      </c>
    </row>
    <row r="42" spans="2:6">
      <c r="B42" s="1" t="s">
        <v>131</v>
      </c>
      <c r="C42" s="23">
        <v>20293</v>
      </c>
      <c r="D42" s="23">
        <v>14786</v>
      </c>
      <c r="E42" s="23">
        <v>11431</v>
      </c>
      <c r="F42" s="23">
        <v>11132</v>
      </c>
    </row>
    <row r="43" spans="2:6">
      <c r="B43" s="1" t="s">
        <v>132</v>
      </c>
      <c r="C43" s="23">
        <v>44637</v>
      </c>
      <c r="D43" s="23">
        <v>94767</v>
      </c>
      <c r="E43" s="23">
        <v>82888</v>
      </c>
      <c r="F43" s="23">
        <v>93419</v>
      </c>
    </row>
    <row r="44" spans="2:6">
      <c r="B44" s="1" t="s">
        <v>133</v>
      </c>
      <c r="C44" s="23">
        <v>160134</v>
      </c>
      <c r="D44" s="23">
        <v>118075</v>
      </c>
      <c r="E44" s="23">
        <v>139349</v>
      </c>
      <c r="F44" s="23">
        <v>157269</v>
      </c>
    </row>
    <row r="46" spans="2:6">
      <c r="B46" s="2" t="s">
        <v>134</v>
      </c>
    </row>
    <row r="47" spans="2:6">
      <c r="B47" s="1" t="s">
        <v>135</v>
      </c>
      <c r="C47" s="23">
        <v>18515</v>
      </c>
      <c r="D47" s="23">
        <v>10869</v>
      </c>
      <c r="E47" s="23">
        <v>25166</v>
      </c>
      <c r="F47" s="23">
        <v>36177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DF67-D585-A741-865F-ECADB9492C5F}">
  <dimension ref="B2:N1689"/>
  <sheetViews>
    <sheetView showGridLines="0" topLeftCell="A6" zoomScale="50" zoomScaleNormal="50" workbookViewId="0">
      <selection activeCell="J3" sqref="J3"/>
    </sheetView>
  </sheetViews>
  <sheetFormatPr defaultColWidth="8.85546875" defaultRowHeight="14.45"/>
  <cols>
    <col min="1" max="1" width="2.42578125" style="1" customWidth="1"/>
    <col min="2" max="2" width="10.85546875" style="1" bestFit="1" customWidth="1"/>
    <col min="3" max="3" width="9.140625" style="1" bestFit="1" customWidth="1"/>
    <col min="4" max="4" width="8.85546875" style="1"/>
    <col min="5" max="5" width="25.5703125" style="1" bestFit="1" customWidth="1"/>
    <col min="6" max="6" width="8.85546875" style="24"/>
    <col min="7" max="8" width="8.85546875" style="1"/>
    <col min="9" max="9" width="9.42578125" style="1" bestFit="1" customWidth="1"/>
    <col min="10" max="11" width="8.85546875" style="1"/>
    <col min="12" max="12" width="10.140625" style="1" bestFit="1" customWidth="1"/>
    <col min="13" max="16384" width="8.85546875" style="1"/>
  </cols>
  <sheetData>
    <row r="2" spans="2:14">
      <c r="B2" s="38"/>
      <c r="C2" s="38" t="s">
        <v>136</v>
      </c>
      <c r="D2" s="38"/>
      <c r="E2" s="38" t="s">
        <v>0</v>
      </c>
      <c r="F2" s="154"/>
      <c r="G2" s="38"/>
    </row>
    <row r="3" spans="2:14">
      <c r="B3" s="1" t="s">
        <v>137</v>
      </c>
      <c r="C3" s="1" t="s">
        <v>138</v>
      </c>
      <c r="D3" s="1" t="s">
        <v>139</v>
      </c>
      <c r="E3" s="1" t="s">
        <v>137</v>
      </c>
      <c r="F3" s="24" t="s">
        <v>138</v>
      </c>
      <c r="G3" s="1" t="s">
        <v>140</v>
      </c>
      <c r="I3" s="39" t="s">
        <v>141</v>
      </c>
      <c r="J3" s="113">
        <f>_xlfn.COVARIANCE.P(G5:G1260,D5:D1260)/_xlfn.VAR.P(D5:D1260)</f>
        <v>0.48281815906096165</v>
      </c>
      <c r="L3" s="1" t="s">
        <v>137</v>
      </c>
      <c r="M3" s="43" t="s">
        <v>142</v>
      </c>
      <c r="N3" s="1" t="s">
        <v>143</v>
      </c>
    </row>
    <row r="4" spans="2:14">
      <c r="B4" s="40">
        <v>43410</v>
      </c>
      <c r="C4" s="47">
        <v>2755.45</v>
      </c>
      <c r="E4" s="40">
        <v>43410</v>
      </c>
      <c r="F4" s="24">
        <v>26.209999</v>
      </c>
      <c r="I4" s="41" t="s">
        <v>144</v>
      </c>
      <c r="J4" s="114">
        <f>_xlfn.COVARIANCE.P(G254:G1260,D254:D1260)/_xlfn.VAR.P(D254:D1260)</f>
        <v>0.49597131266791661</v>
      </c>
      <c r="L4" s="40">
        <v>43410</v>
      </c>
      <c r="M4" s="43"/>
    </row>
    <row r="5" spans="2:14">
      <c r="B5" s="40">
        <v>43411</v>
      </c>
      <c r="C5" s="47">
        <v>2813.89</v>
      </c>
      <c r="D5" s="80">
        <f>C5/C4-1</f>
        <v>2.1208876952947708E-2</v>
      </c>
      <c r="E5" s="40">
        <v>43411</v>
      </c>
      <c r="F5" s="24">
        <v>26.620000999999998</v>
      </c>
      <c r="G5" s="80">
        <f>F5/F4-1</f>
        <v>1.5642961298853786E-2</v>
      </c>
      <c r="I5" s="41" t="s">
        <v>145</v>
      </c>
      <c r="J5" s="114">
        <f>_xlfn.COVARIANCE.P(G507:G1260,D507:D1260)/_xlfn.VAR.P(D507:D1260)</f>
        <v>0.51308147010258742</v>
      </c>
      <c r="L5" s="40">
        <v>43411</v>
      </c>
      <c r="M5" s="43">
        <v>2.1208899999999999E-2</v>
      </c>
      <c r="N5" s="1">
        <v>1.5642961298853786E-2</v>
      </c>
    </row>
    <row r="6" spans="2:14">
      <c r="B6" s="40">
        <v>43412</v>
      </c>
      <c r="C6" s="47">
        <v>2806.83</v>
      </c>
      <c r="D6" s="81">
        <f t="shared" ref="D6:D69" si="0">C6/C5-1</f>
        <v>-2.5089822274502183E-3</v>
      </c>
      <c r="E6" s="40">
        <v>43412</v>
      </c>
      <c r="F6" s="24">
        <v>27.16</v>
      </c>
      <c r="G6" s="81">
        <f t="shared" ref="G6:G69" si="1">F6/F5-1</f>
        <v>2.0285461296564167E-2</v>
      </c>
      <c r="I6" s="42" t="s">
        <v>146</v>
      </c>
      <c r="J6" s="115">
        <f>_xlfn.COVARIANCE.P(G759:G1260,D759:D1260)/_xlfn.VAR.P(D759:D1260)</f>
        <v>0.59544307497112692</v>
      </c>
      <c r="L6" s="40">
        <v>43412</v>
      </c>
      <c r="M6" s="43">
        <v>-2.5089999999999999E-3</v>
      </c>
      <c r="N6" s="1">
        <v>2.0285461296564167E-2</v>
      </c>
    </row>
    <row r="7" spans="2:14">
      <c r="B7" s="40">
        <v>43413</v>
      </c>
      <c r="C7" s="47">
        <v>2781.01</v>
      </c>
      <c r="D7" s="80">
        <f>C7/C6-1</f>
        <v>-9.1989896074931021E-3</v>
      </c>
      <c r="E7" s="40">
        <v>43413</v>
      </c>
      <c r="F7" s="24">
        <v>27.01</v>
      </c>
      <c r="G7" s="81">
        <f t="shared" si="1"/>
        <v>-5.5228276877761218E-3</v>
      </c>
      <c r="I7" s="42" t="s">
        <v>147</v>
      </c>
      <c r="J7" s="115">
        <f>_xlfn.COVARIANCE.P(G1007:G1261,D1007:D1261)/_xlfn.VAR.P(D1007:D1261)</f>
        <v>0.47587033938967421</v>
      </c>
      <c r="L7" s="40">
        <v>43413</v>
      </c>
      <c r="M7" s="43">
        <v>-9.1990000000000006E-3</v>
      </c>
      <c r="N7" s="1">
        <v>-5.5228276877761218E-3</v>
      </c>
    </row>
    <row r="8" spans="2:14">
      <c r="B8" s="40">
        <v>43416</v>
      </c>
      <c r="C8" s="47">
        <v>2726.22</v>
      </c>
      <c r="D8" s="81">
        <f t="shared" si="0"/>
        <v>-1.9701475363267495E-2</v>
      </c>
      <c r="E8" s="40">
        <v>43416</v>
      </c>
      <c r="F8" s="24">
        <v>27.450001</v>
      </c>
      <c r="G8" s="81">
        <f t="shared" si="1"/>
        <v>1.6290299888930049E-2</v>
      </c>
      <c r="L8" s="40">
        <v>43416</v>
      </c>
      <c r="M8" s="43">
        <v>-1.97015E-2</v>
      </c>
      <c r="N8" s="1">
        <v>1.6290299888930049E-2</v>
      </c>
    </row>
    <row r="9" spans="2:14">
      <c r="B9" s="40">
        <v>43417</v>
      </c>
      <c r="C9" s="47">
        <v>2722.18</v>
      </c>
      <c r="D9" s="81">
        <f t="shared" si="0"/>
        <v>-1.4819053487979961E-3</v>
      </c>
      <c r="E9" s="40">
        <v>43417</v>
      </c>
      <c r="F9" s="24">
        <v>27.74</v>
      </c>
      <c r="G9" s="81">
        <f t="shared" si="1"/>
        <v>1.0564626208938943E-2</v>
      </c>
      <c r="I9" s="118" t="s">
        <v>148</v>
      </c>
      <c r="J9" s="117">
        <f>_xlfn.COVARIANCE.P(G880:G1007,D880:D1007)/_xlfn.VAR.P(D880:D1007)</f>
        <v>0.9515125964385277</v>
      </c>
      <c r="L9" s="40">
        <v>43417</v>
      </c>
      <c r="M9" s="43">
        <v>-1.4819E-3</v>
      </c>
      <c r="N9" s="1">
        <v>1.0564626208938943E-2</v>
      </c>
    </row>
    <row r="10" spans="2:14">
      <c r="B10" s="40">
        <v>43418</v>
      </c>
      <c r="C10" s="47">
        <v>2701.58</v>
      </c>
      <c r="D10" s="81">
        <f t="shared" si="0"/>
        <v>-7.5674643116913076E-3</v>
      </c>
      <c r="E10" s="40">
        <v>43418</v>
      </c>
      <c r="F10" s="24">
        <v>28.559999000000001</v>
      </c>
      <c r="G10" s="81">
        <f t="shared" si="1"/>
        <v>2.9560165825522899E-2</v>
      </c>
      <c r="L10" s="40">
        <v>43418</v>
      </c>
      <c r="M10" s="43">
        <v>-7.5674999999999996E-3</v>
      </c>
      <c r="N10" s="1">
        <v>2.9560165825522899E-2</v>
      </c>
    </row>
    <row r="11" spans="2:14">
      <c r="B11" s="40">
        <v>43419</v>
      </c>
      <c r="C11" s="47">
        <v>2730.2</v>
      </c>
      <c r="D11" s="81">
        <f t="shared" si="0"/>
        <v>1.0593800664796094E-2</v>
      </c>
      <c r="E11" s="40">
        <v>43419</v>
      </c>
      <c r="F11" s="24">
        <v>27.5</v>
      </c>
      <c r="G11" s="81">
        <f t="shared" si="1"/>
        <v>-3.7114812223908E-2</v>
      </c>
      <c r="L11" s="40">
        <v>43419</v>
      </c>
      <c r="M11" s="43">
        <v>1.05938E-2</v>
      </c>
      <c r="N11" s="1">
        <v>-3.7114812223908E-2</v>
      </c>
    </row>
    <row r="12" spans="2:14">
      <c r="B12" s="40">
        <v>43420</v>
      </c>
      <c r="C12" s="47">
        <v>2736.27</v>
      </c>
      <c r="D12" s="81">
        <f t="shared" si="0"/>
        <v>2.2232803457622463E-3</v>
      </c>
      <c r="E12" s="40">
        <v>43420</v>
      </c>
      <c r="F12" s="24">
        <v>27.67</v>
      </c>
      <c r="G12" s="81">
        <f t="shared" si="1"/>
        <v>6.1818181818182882E-3</v>
      </c>
      <c r="L12" s="40">
        <v>43420</v>
      </c>
      <c r="M12" s="43">
        <v>2.2233000000000001E-3</v>
      </c>
      <c r="N12" s="1">
        <v>6.1818181818182882E-3</v>
      </c>
    </row>
    <row r="13" spans="2:14">
      <c r="B13" s="40">
        <v>43423</v>
      </c>
      <c r="C13" s="47">
        <v>2690.73</v>
      </c>
      <c r="D13" s="80">
        <f>C13/C12-1</f>
        <v>-1.6643094431470606E-2</v>
      </c>
      <c r="E13" s="40">
        <v>43423</v>
      </c>
      <c r="F13" s="24">
        <v>27.610001</v>
      </c>
      <c r="G13" s="80">
        <f>F13/F12-1</f>
        <v>-2.1683773039393728E-3</v>
      </c>
      <c r="L13" s="40">
        <v>43423</v>
      </c>
      <c r="M13" s="43">
        <v>-1.6643100000000001E-2</v>
      </c>
      <c r="N13" s="1">
        <v>-2.1683773039393728E-3</v>
      </c>
    </row>
    <row r="14" spans="2:14">
      <c r="B14" s="40">
        <v>43424</v>
      </c>
      <c r="C14" s="47">
        <v>2641.89</v>
      </c>
      <c r="D14" s="81">
        <f t="shared" si="0"/>
        <v>-1.8151208036480848E-2</v>
      </c>
      <c r="E14" s="40">
        <v>43424</v>
      </c>
      <c r="F14" s="24">
        <v>27.93</v>
      </c>
      <c r="G14" s="81">
        <f t="shared" si="1"/>
        <v>1.1589966983340583E-2</v>
      </c>
      <c r="L14" s="40">
        <v>43424</v>
      </c>
      <c r="M14" s="43">
        <v>-1.8151199999999999E-2</v>
      </c>
      <c r="N14" s="1">
        <v>1.1589966983340583E-2</v>
      </c>
    </row>
    <row r="15" spans="2:14">
      <c r="B15" s="40">
        <v>43425</v>
      </c>
      <c r="C15" s="47">
        <v>2649.93</v>
      </c>
      <c r="D15" s="81">
        <f t="shared" si="0"/>
        <v>3.0432758366170098E-3</v>
      </c>
      <c r="E15" s="40">
        <v>43425</v>
      </c>
      <c r="F15" s="24">
        <v>26.82</v>
      </c>
      <c r="G15" s="81">
        <f t="shared" si="1"/>
        <v>-3.9742212674543476E-2</v>
      </c>
      <c r="L15" s="40">
        <v>43425</v>
      </c>
      <c r="M15" s="43">
        <v>3.0433000000000001E-3</v>
      </c>
      <c r="N15" s="1">
        <v>-3.9742212674543476E-2</v>
      </c>
    </row>
    <row r="16" spans="2:14">
      <c r="B16" s="40">
        <v>43427</v>
      </c>
      <c r="C16" s="47">
        <v>2632.56</v>
      </c>
      <c r="D16" s="81">
        <f t="shared" si="0"/>
        <v>-6.5548901291732076E-3</v>
      </c>
      <c r="E16" s="40">
        <v>43427</v>
      </c>
      <c r="F16" s="24">
        <v>27.42</v>
      </c>
      <c r="G16" s="81">
        <f t="shared" si="1"/>
        <v>2.2371364653243964E-2</v>
      </c>
      <c r="L16" s="40">
        <v>43427</v>
      </c>
      <c r="M16" s="43">
        <v>-6.5548999999999998E-3</v>
      </c>
      <c r="N16" s="1">
        <v>2.2371364653243964E-2</v>
      </c>
    </row>
    <row r="17" spans="2:14">
      <c r="B17" s="40">
        <v>43430</v>
      </c>
      <c r="C17" s="47">
        <v>2673.45</v>
      </c>
      <c r="D17" s="81">
        <f t="shared" si="0"/>
        <v>1.5532409517731827E-2</v>
      </c>
      <c r="E17" s="40">
        <v>43430</v>
      </c>
      <c r="F17" s="24">
        <v>26.440000999999999</v>
      </c>
      <c r="G17" s="81">
        <f t="shared" si="1"/>
        <v>-3.5740299051787106E-2</v>
      </c>
      <c r="L17" s="40">
        <v>43430</v>
      </c>
      <c r="M17" s="43">
        <v>1.55324E-2</v>
      </c>
      <c r="N17" s="1">
        <v>-3.5740299051787106E-2</v>
      </c>
    </row>
    <row r="18" spans="2:14">
      <c r="B18" s="40">
        <v>43431</v>
      </c>
      <c r="C18" s="47">
        <v>2682.17</v>
      </c>
      <c r="D18" s="81">
        <f t="shared" si="0"/>
        <v>3.261703042884756E-3</v>
      </c>
      <c r="E18" s="40">
        <v>43431</v>
      </c>
      <c r="F18" s="24">
        <v>26.700001</v>
      </c>
      <c r="G18" s="81">
        <f t="shared" si="1"/>
        <v>9.8335851046300604E-3</v>
      </c>
      <c r="L18" s="40">
        <v>43431</v>
      </c>
      <c r="M18" s="43">
        <v>3.2617000000000002E-3</v>
      </c>
      <c r="N18" s="1">
        <v>9.8335851046300604E-3</v>
      </c>
    </row>
    <row r="19" spans="2:14">
      <c r="B19" s="40">
        <v>43432</v>
      </c>
      <c r="C19" s="47">
        <v>2743.79</v>
      </c>
      <c r="D19" s="81">
        <f t="shared" si="0"/>
        <v>2.297393528374414E-2</v>
      </c>
      <c r="E19" s="40">
        <v>43432</v>
      </c>
      <c r="F19" s="24">
        <v>26.629999000000002</v>
      </c>
      <c r="G19" s="81">
        <f t="shared" si="1"/>
        <v>-2.621797654614233E-3</v>
      </c>
      <c r="L19" s="40">
        <v>43432</v>
      </c>
      <c r="M19" s="43">
        <v>2.2973899999999998E-2</v>
      </c>
      <c r="N19" s="1">
        <v>-2.621797654614233E-3</v>
      </c>
    </row>
    <row r="20" spans="2:14">
      <c r="B20" s="40">
        <v>43433</v>
      </c>
      <c r="C20" s="47">
        <v>2737.76</v>
      </c>
      <c r="D20" s="81">
        <f t="shared" si="0"/>
        <v>-2.1976900564546487E-3</v>
      </c>
      <c r="E20" s="40">
        <v>43433</v>
      </c>
      <c r="F20" s="24">
        <v>27.030000999999999</v>
      </c>
      <c r="G20" s="81">
        <f t="shared" si="1"/>
        <v>1.50207290657427E-2</v>
      </c>
      <c r="L20" s="40">
        <v>43433</v>
      </c>
      <c r="M20" s="43">
        <v>-2.1976999999999999E-3</v>
      </c>
      <c r="N20" s="1">
        <v>1.50207290657427E-2</v>
      </c>
    </row>
    <row r="21" spans="2:14">
      <c r="B21" s="40">
        <v>43434</v>
      </c>
      <c r="C21" s="47">
        <v>2760.17</v>
      </c>
      <c r="D21" s="81">
        <f t="shared" si="0"/>
        <v>8.1855239319734707E-3</v>
      </c>
      <c r="E21" s="40">
        <v>43434</v>
      </c>
      <c r="F21" s="24">
        <v>23.02</v>
      </c>
      <c r="G21" s="81">
        <f t="shared" si="1"/>
        <v>-0.14835371260252628</v>
      </c>
      <c r="L21" s="40">
        <v>43434</v>
      </c>
      <c r="M21" s="43">
        <v>8.1855000000000001E-3</v>
      </c>
      <c r="N21" s="1">
        <v>-0.14835371260252628</v>
      </c>
    </row>
    <row r="22" spans="2:14">
      <c r="B22" s="40">
        <v>43437</v>
      </c>
      <c r="C22" s="47">
        <v>2790.37</v>
      </c>
      <c r="D22" s="81">
        <f t="shared" si="0"/>
        <v>1.0941355061463431E-2</v>
      </c>
      <c r="E22" s="40">
        <v>43437</v>
      </c>
      <c r="F22" s="24">
        <v>25.120000999999998</v>
      </c>
      <c r="G22" s="81">
        <f t="shared" si="1"/>
        <v>9.1225065160729812E-2</v>
      </c>
      <c r="L22" s="40">
        <v>43437</v>
      </c>
      <c r="M22" s="43">
        <v>1.09414E-2</v>
      </c>
      <c r="N22" s="1">
        <v>9.1225065160729812E-2</v>
      </c>
    </row>
    <row r="23" spans="2:14">
      <c r="B23" s="40">
        <v>43438</v>
      </c>
      <c r="C23" s="47">
        <v>2700.06</v>
      </c>
      <c r="D23" s="81">
        <f t="shared" si="0"/>
        <v>-3.2364883510072162E-2</v>
      </c>
      <c r="E23" s="40">
        <v>43438</v>
      </c>
      <c r="F23" s="24">
        <v>24.15</v>
      </c>
      <c r="G23" s="81">
        <f t="shared" si="1"/>
        <v>-3.861468795323697E-2</v>
      </c>
      <c r="L23" s="40">
        <v>43438</v>
      </c>
      <c r="M23" s="43">
        <v>-3.2364900000000002E-2</v>
      </c>
      <c r="N23" s="1">
        <v>-3.861468795323697E-2</v>
      </c>
    </row>
    <row r="24" spans="2:14">
      <c r="B24" s="40">
        <v>43440</v>
      </c>
      <c r="C24" s="47">
        <v>2695.95</v>
      </c>
      <c r="D24" s="81">
        <f t="shared" si="0"/>
        <v>-1.5221883958135285E-3</v>
      </c>
      <c r="E24" s="40">
        <v>43440</v>
      </c>
      <c r="F24" s="24">
        <v>25.09</v>
      </c>
      <c r="G24" s="81">
        <f t="shared" si="1"/>
        <v>3.8923395445134679E-2</v>
      </c>
      <c r="L24" s="40">
        <v>43440</v>
      </c>
      <c r="M24" s="43">
        <v>-1.5222E-3</v>
      </c>
      <c r="N24" s="1">
        <v>3.8923395445134679E-2</v>
      </c>
    </row>
    <row r="25" spans="2:14">
      <c r="B25" s="40">
        <v>43441</v>
      </c>
      <c r="C25" s="47">
        <v>2633.08</v>
      </c>
      <c r="D25" s="81">
        <f t="shared" si="0"/>
        <v>-2.3320165433335149E-2</v>
      </c>
      <c r="E25" s="40">
        <v>43441</v>
      </c>
      <c r="F25" s="24">
        <v>24.450001</v>
      </c>
      <c r="G25" s="81">
        <f t="shared" si="1"/>
        <v>-2.550813072937419E-2</v>
      </c>
      <c r="L25" s="40">
        <v>43441</v>
      </c>
      <c r="M25" s="43">
        <v>-2.3320199999999999E-2</v>
      </c>
      <c r="N25" s="1">
        <v>-2.550813072937419E-2</v>
      </c>
    </row>
    <row r="26" spans="2:14">
      <c r="B26" s="40">
        <v>43444</v>
      </c>
      <c r="C26" s="47">
        <v>2637.72</v>
      </c>
      <c r="D26" s="81">
        <f t="shared" si="0"/>
        <v>1.762194844060927E-3</v>
      </c>
      <c r="E26" s="40">
        <v>43444</v>
      </c>
      <c r="F26" s="24">
        <v>23.99</v>
      </c>
      <c r="G26" s="81">
        <f t="shared" si="1"/>
        <v>-1.8813946060779352E-2</v>
      </c>
      <c r="L26" s="40">
        <v>43444</v>
      </c>
      <c r="M26" s="43">
        <v>1.7622E-3</v>
      </c>
      <c r="N26" s="1">
        <v>-1.8813946060779352E-2</v>
      </c>
    </row>
    <row r="27" spans="2:14">
      <c r="B27" s="40">
        <v>43445</v>
      </c>
      <c r="C27" s="47">
        <v>2636.78</v>
      </c>
      <c r="D27" s="81">
        <f t="shared" si="0"/>
        <v>-3.5636837875119287E-4</v>
      </c>
      <c r="E27" s="40">
        <v>43445</v>
      </c>
      <c r="F27" s="24">
        <v>24.190000999999999</v>
      </c>
      <c r="G27" s="81">
        <f t="shared" si="1"/>
        <v>8.3368486869528358E-3</v>
      </c>
      <c r="L27" s="40">
        <v>43445</v>
      </c>
      <c r="M27" s="43">
        <v>-3.5639999999999999E-4</v>
      </c>
      <c r="N27" s="1">
        <v>8.3368486869528358E-3</v>
      </c>
    </row>
    <row r="28" spans="2:14">
      <c r="B28" s="40">
        <v>43446</v>
      </c>
      <c r="C28" s="47">
        <v>2651.07</v>
      </c>
      <c r="D28" s="81">
        <f t="shared" si="0"/>
        <v>5.4194889220944287E-3</v>
      </c>
      <c r="E28" s="40">
        <v>43446</v>
      </c>
      <c r="F28" s="24">
        <v>23.889999</v>
      </c>
      <c r="G28" s="81">
        <f t="shared" si="1"/>
        <v>-1.2401901099549306E-2</v>
      </c>
      <c r="L28" s="40">
        <v>43446</v>
      </c>
      <c r="M28" s="43">
        <v>5.4194999999999998E-3</v>
      </c>
      <c r="N28" s="1">
        <v>-1.2401901099549306E-2</v>
      </c>
    </row>
    <row r="29" spans="2:14">
      <c r="B29" s="40">
        <v>43447</v>
      </c>
      <c r="C29" s="47">
        <v>2650.54</v>
      </c>
      <c r="D29" s="81">
        <f t="shared" si="0"/>
        <v>-1.9991927787654795E-4</v>
      </c>
      <c r="E29" s="40">
        <v>43447</v>
      </c>
      <c r="F29" s="24">
        <v>24.08</v>
      </c>
      <c r="G29" s="81">
        <f t="shared" si="1"/>
        <v>7.9531606510321318E-3</v>
      </c>
      <c r="L29" s="40">
        <v>43447</v>
      </c>
      <c r="M29" s="43">
        <v>-1.9990000000000001E-4</v>
      </c>
      <c r="N29" s="1">
        <v>7.9531606510321318E-3</v>
      </c>
    </row>
    <row r="30" spans="2:14">
      <c r="B30" s="40">
        <v>43448</v>
      </c>
      <c r="C30" s="47">
        <v>2599.9499999999998</v>
      </c>
      <c r="D30" s="81">
        <f t="shared" si="0"/>
        <v>-1.9086676677205427E-2</v>
      </c>
      <c r="E30" s="40">
        <v>43448</v>
      </c>
      <c r="F30" s="24">
        <v>23.959999</v>
      </c>
      <c r="G30" s="81">
        <f t="shared" si="1"/>
        <v>-4.9834302325580948E-3</v>
      </c>
      <c r="L30" s="40">
        <v>43448</v>
      </c>
      <c r="M30" s="43">
        <v>-1.9086700000000002E-2</v>
      </c>
      <c r="N30" s="1">
        <v>-4.9834302325580948E-3</v>
      </c>
    </row>
    <row r="31" spans="2:14">
      <c r="B31" s="40">
        <v>43451</v>
      </c>
      <c r="C31" s="47">
        <v>2545.94</v>
      </c>
      <c r="D31" s="81">
        <f t="shared" si="0"/>
        <v>-2.0773476413007863E-2</v>
      </c>
      <c r="E31" s="40">
        <v>43451</v>
      </c>
      <c r="F31" s="24">
        <v>23.5</v>
      </c>
      <c r="G31" s="81">
        <f t="shared" si="1"/>
        <v>-1.9198623505785606E-2</v>
      </c>
      <c r="L31" s="40">
        <v>43451</v>
      </c>
      <c r="M31" s="43">
        <v>-2.07735E-2</v>
      </c>
      <c r="N31" s="1">
        <v>-1.9198623505785606E-2</v>
      </c>
    </row>
    <row r="32" spans="2:14">
      <c r="B32" s="40">
        <v>43452</v>
      </c>
      <c r="C32" s="47">
        <v>2546.16</v>
      </c>
      <c r="D32" s="81">
        <f t="shared" si="0"/>
        <v>8.6412091408138991E-5</v>
      </c>
      <c r="E32" s="40">
        <v>43452</v>
      </c>
      <c r="F32" s="24">
        <v>23.52</v>
      </c>
      <c r="G32" s="81">
        <f t="shared" si="1"/>
        <v>8.5106382978716866E-4</v>
      </c>
      <c r="L32" s="40">
        <v>43452</v>
      </c>
      <c r="M32" s="43">
        <v>8.6409999999999994E-5</v>
      </c>
      <c r="N32" s="1">
        <v>8.5106382978716866E-4</v>
      </c>
    </row>
    <row r="33" spans="2:14">
      <c r="B33" s="40">
        <v>43453</v>
      </c>
      <c r="C33" s="47">
        <v>2506.96</v>
      </c>
      <c r="D33" s="81">
        <f t="shared" si="0"/>
        <v>-1.5395733182517968E-2</v>
      </c>
      <c r="E33" s="40">
        <v>43453</v>
      </c>
      <c r="F33" s="24">
        <v>23.26</v>
      </c>
      <c r="G33" s="81">
        <f t="shared" si="1"/>
        <v>-1.1054421768707412E-2</v>
      </c>
      <c r="L33" s="40">
        <v>43453</v>
      </c>
      <c r="M33" s="43">
        <v>-1.53957E-2</v>
      </c>
      <c r="N33" s="1">
        <v>-1.1054421768707412E-2</v>
      </c>
    </row>
    <row r="34" spans="2:14">
      <c r="B34" s="40">
        <v>43454</v>
      </c>
      <c r="C34" s="47">
        <v>2467.42</v>
      </c>
      <c r="D34" s="81">
        <f t="shared" si="0"/>
        <v>-1.5772090500047797E-2</v>
      </c>
      <c r="E34" s="40">
        <v>43454</v>
      </c>
      <c r="F34" s="24">
        <v>22.879999000000002</v>
      </c>
      <c r="G34" s="81">
        <f t="shared" si="1"/>
        <v>-1.6337102321582142E-2</v>
      </c>
      <c r="L34" s="40">
        <v>43454</v>
      </c>
      <c r="M34" s="43">
        <v>-1.5772100000000001E-2</v>
      </c>
      <c r="N34" s="1">
        <v>-1.6337102321582142E-2</v>
      </c>
    </row>
    <row r="35" spans="2:14">
      <c r="B35" s="40">
        <v>43455</v>
      </c>
      <c r="C35" s="47">
        <v>2416.62</v>
      </c>
      <c r="D35" s="81">
        <f t="shared" si="0"/>
        <v>-2.0588306814405377E-2</v>
      </c>
      <c r="E35" s="40">
        <v>43455</v>
      </c>
      <c r="F35" s="24">
        <v>23.07</v>
      </c>
      <c r="G35" s="81">
        <f t="shared" si="1"/>
        <v>8.3042398734369804E-3</v>
      </c>
      <c r="L35" s="40">
        <v>43455</v>
      </c>
      <c r="M35" s="43">
        <v>-2.05883E-2</v>
      </c>
      <c r="N35" s="1">
        <v>8.3042398734369804E-3</v>
      </c>
    </row>
    <row r="36" spans="2:14">
      <c r="B36" s="40">
        <v>43458</v>
      </c>
      <c r="C36" s="47">
        <v>2351.1</v>
      </c>
      <c r="D36" s="81">
        <f t="shared" si="0"/>
        <v>-2.711224768478282E-2</v>
      </c>
      <c r="E36" s="40">
        <v>43458</v>
      </c>
      <c r="F36" s="24">
        <v>22.65</v>
      </c>
      <c r="G36" s="81">
        <f t="shared" si="1"/>
        <v>-1.8205461638491571E-2</v>
      </c>
      <c r="L36" s="40">
        <v>43458</v>
      </c>
      <c r="M36" s="43">
        <v>-2.7112199999999999E-2</v>
      </c>
      <c r="N36" s="1">
        <v>-1.8205461638491571E-2</v>
      </c>
    </row>
    <row r="37" spans="2:14">
      <c r="B37" s="40">
        <v>43460</v>
      </c>
      <c r="C37" s="47">
        <v>2467.6999999999998</v>
      </c>
      <c r="D37" s="81">
        <f t="shared" si="0"/>
        <v>4.9593807154098002E-2</v>
      </c>
      <c r="E37" s="40">
        <v>43460</v>
      </c>
      <c r="F37" s="24">
        <v>23.209999</v>
      </c>
      <c r="G37" s="81">
        <f t="shared" si="1"/>
        <v>2.4724017660044284E-2</v>
      </c>
      <c r="L37" s="40">
        <v>43460</v>
      </c>
      <c r="M37" s="43">
        <v>4.95938E-2</v>
      </c>
      <c r="N37" s="1">
        <v>2.4724017660044284E-2</v>
      </c>
    </row>
    <row r="38" spans="2:14">
      <c r="B38" s="40">
        <v>43461</v>
      </c>
      <c r="C38" s="47">
        <v>2488.83</v>
      </c>
      <c r="D38" s="81">
        <f t="shared" si="0"/>
        <v>8.5626291688616352E-3</v>
      </c>
      <c r="E38" s="40">
        <v>43461</v>
      </c>
      <c r="F38" s="24">
        <v>22.99</v>
      </c>
      <c r="G38" s="81">
        <f t="shared" si="1"/>
        <v>-9.4786303092904145E-3</v>
      </c>
      <c r="L38" s="40">
        <v>43461</v>
      </c>
      <c r="M38" s="43">
        <v>8.5626000000000001E-3</v>
      </c>
      <c r="N38" s="1">
        <v>-9.4786303092904145E-3</v>
      </c>
    </row>
    <row r="39" spans="2:14">
      <c r="B39" s="40">
        <v>43462</v>
      </c>
      <c r="C39" s="47">
        <v>2485.7399999999998</v>
      </c>
      <c r="D39" s="81">
        <f t="shared" si="0"/>
        <v>-1.2415472330372657E-3</v>
      </c>
      <c r="E39" s="40">
        <v>43462</v>
      </c>
      <c r="F39" s="24">
        <v>23.190000999999999</v>
      </c>
      <c r="G39" s="81">
        <f t="shared" si="1"/>
        <v>8.6994780339277877E-3</v>
      </c>
      <c r="L39" s="40">
        <v>43462</v>
      </c>
      <c r="M39" s="43">
        <v>-1.2415E-3</v>
      </c>
      <c r="N39" s="1">
        <v>8.6994780339277877E-3</v>
      </c>
    </row>
    <row r="40" spans="2:14">
      <c r="B40" s="40">
        <v>43465</v>
      </c>
      <c r="C40" s="47">
        <v>2506.85</v>
      </c>
      <c r="D40" s="81">
        <f t="shared" si="0"/>
        <v>8.4924408827955489E-3</v>
      </c>
      <c r="E40" s="40">
        <v>43465</v>
      </c>
      <c r="F40" s="24">
        <v>23.51</v>
      </c>
      <c r="G40" s="81">
        <f t="shared" si="1"/>
        <v>1.3799007598145563E-2</v>
      </c>
      <c r="L40" s="40">
        <v>43465</v>
      </c>
      <c r="M40" s="43">
        <v>8.4924000000000006E-3</v>
      </c>
      <c r="N40" s="1">
        <v>1.3799007598145563E-2</v>
      </c>
    </row>
    <row r="41" spans="2:14">
      <c r="B41" s="40">
        <v>43467</v>
      </c>
      <c r="C41" s="47">
        <v>2510.0300000000002</v>
      </c>
      <c r="D41" s="81">
        <f t="shared" si="0"/>
        <v>1.2685242435728217E-3</v>
      </c>
      <c r="E41" s="40">
        <v>43467</v>
      </c>
      <c r="F41" s="24">
        <v>23.49</v>
      </c>
      <c r="G41" s="81">
        <f t="shared" si="1"/>
        <v>-8.5070182900903735E-4</v>
      </c>
      <c r="L41" s="40">
        <v>43467</v>
      </c>
      <c r="M41" s="43">
        <v>1.2685000000000001E-3</v>
      </c>
      <c r="N41" s="1">
        <v>-8.5070182900903735E-4</v>
      </c>
    </row>
    <row r="42" spans="2:14">
      <c r="B42" s="40">
        <v>43468</v>
      </c>
      <c r="C42" s="47">
        <v>2447.89</v>
      </c>
      <c r="D42" s="81">
        <f t="shared" si="0"/>
        <v>-2.4756676215025419E-2</v>
      </c>
      <c r="E42" s="40">
        <v>43468</v>
      </c>
      <c r="F42" s="24">
        <v>23.76</v>
      </c>
      <c r="G42" s="81">
        <f t="shared" si="1"/>
        <v>1.1494252873563315E-2</v>
      </c>
      <c r="L42" s="40">
        <v>43468</v>
      </c>
      <c r="M42" s="43">
        <v>-2.47567E-2</v>
      </c>
      <c r="N42" s="1">
        <v>1.1494252873563315E-2</v>
      </c>
    </row>
    <row r="43" spans="2:14">
      <c r="B43" s="40">
        <v>43469</v>
      </c>
      <c r="C43" s="47">
        <v>2531.94</v>
      </c>
      <c r="D43" s="81">
        <f t="shared" si="0"/>
        <v>3.4335693188827898E-2</v>
      </c>
      <c r="E43" s="40">
        <v>43469</v>
      </c>
      <c r="F43" s="24">
        <v>23.84</v>
      </c>
      <c r="G43" s="81">
        <f t="shared" si="1"/>
        <v>3.3670033670032407E-3</v>
      </c>
      <c r="L43" s="40">
        <v>43469</v>
      </c>
      <c r="M43" s="43">
        <v>3.4335699999999997E-2</v>
      </c>
      <c r="N43" s="1">
        <v>3.3670033670032407E-3</v>
      </c>
    </row>
    <row r="44" spans="2:14">
      <c r="B44" s="40">
        <v>43472</v>
      </c>
      <c r="C44" s="47">
        <v>2549.69</v>
      </c>
      <c r="D44" s="81">
        <f t="shared" si="0"/>
        <v>7.0104346864459099E-3</v>
      </c>
      <c r="E44" s="40">
        <v>43472</v>
      </c>
      <c r="F44" s="24">
        <v>24.049999</v>
      </c>
      <c r="G44" s="81">
        <f t="shared" si="1"/>
        <v>8.8086828859059718E-3</v>
      </c>
      <c r="L44" s="40">
        <v>43472</v>
      </c>
      <c r="M44" s="43">
        <v>7.0104E-3</v>
      </c>
      <c r="N44" s="1">
        <v>8.8086828859059718E-3</v>
      </c>
    </row>
    <row r="45" spans="2:14">
      <c r="B45" s="40">
        <v>43473</v>
      </c>
      <c r="C45" s="47">
        <v>2574.41</v>
      </c>
      <c r="D45" s="81">
        <f t="shared" si="0"/>
        <v>9.6952962909215845E-3</v>
      </c>
      <c r="E45" s="40">
        <v>43473</v>
      </c>
      <c r="F45" s="24">
        <v>24.43</v>
      </c>
      <c r="G45" s="81">
        <f t="shared" si="1"/>
        <v>1.5800458037441123E-2</v>
      </c>
      <c r="L45" s="40">
        <v>43473</v>
      </c>
      <c r="M45" s="43">
        <v>9.6953000000000004E-3</v>
      </c>
      <c r="N45" s="1">
        <v>1.5800458037441123E-2</v>
      </c>
    </row>
    <row r="46" spans="2:14">
      <c r="B46" s="40">
        <v>43474</v>
      </c>
      <c r="C46" s="47">
        <v>2584.96</v>
      </c>
      <c r="D46" s="81">
        <f t="shared" si="0"/>
        <v>4.0980263439003295E-3</v>
      </c>
      <c r="E46" s="40">
        <v>43474</v>
      </c>
      <c r="F46" s="24">
        <v>24.299999</v>
      </c>
      <c r="G46" s="81">
        <f t="shared" si="1"/>
        <v>-5.3213671715104383E-3</v>
      </c>
      <c r="L46" s="40">
        <v>43474</v>
      </c>
      <c r="M46" s="43">
        <v>4.0980000000000001E-3</v>
      </c>
      <c r="N46" s="1">
        <v>-5.3213671715104383E-3</v>
      </c>
    </row>
    <row r="47" spans="2:14">
      <c r="B47" s="40">
        <v>43475</v>
      </c>
      <c r="C47" s="47">
        <v>2596.64</v>
      </c>
      <c r="D47" s="81">
        <f t="shared" si="0"/>
        <v>4.5184451596929076E-3</v>
      </c>
      <c r="E47" s="40">
        <v>43475</v>
      </c>
      <c r="F47" s="24">
        <v>24.139999</v>
      </c>
      <c r="G47" s="81">
        <f t="shared" si="1"/>
        <v>-6.5843624108791188E-3</v>
      </c>
      <c r="L47" s="40">
        <v>43475</v>
      </c>
      <c r="M47" s="43">
        <v>4.5183999999999997E-3</v>
      </c>
      <c r="N47" s="1">
        <v>-6.5843624108791188E-3</v>
      </c>
    </row>
    <row r="48" spans="2:14">
      <c r="B48" s="40">
        <v>43476</v>
      </c>
      <c r="C48" s="47">
        <v>2596.2600000000002</v>
      </c>
      <c r="D48" s="81">
        <f t="shared" si="0"/>
        <v>-1.4634296629478794E-4</v>
      </c>
      <c r="E48" s="40">
        <v>43476</v>
      </c>
      <c r="F48" s="24">
        <v>24.040001</v>
      </c>
      <c r="G48" s="81">
        <f t="shared" si="1"/>
        <v>-4.1424193928093489E-3</v>
      </c>
      <c r="L48" s="40">
        <v>43476</v>
      </c>
      <c r="M48" s="43">
        <v>-1.4630000000000001E-4</v>
      </c>
      <c r="N48" s="1">
        <v>-4.1424193928093489E-3</v>
      </c>
    </row>
    <row r="49" spans="2:14">
      <c r="B49" s="40">
        <v>43479</v>
      </c>
      <c r="C49" s="47">
        <v>2582.61</v>
      </c>
      <c r="D49" s="81">
        <f t="shared" si="0"/>
        <v>-5.2575628018766141E-3</v>
      </c>
      <c r="E49" s="40">
        <v>43479</v>
      </c>
      <c r="F49" s="24">
        <v>23.93</v>
      </c>
      <c r="G49" s="81">
        <f t="shared" si="1"/>
        <v>-4.5757485617409221E-3</v>
      </c>
      <c r="L49" s="40">
        <v>43479</v>
      </c>
      <c r="M49" s="43">
        <v>-5.2576000000000003E-3</v>
      </c>
      <c r="N49" s="1">
        <v>-4.5757485617409221E-3</v>
      </c>
    </row>
    <row r="50" spans="2:14">
      <c r="B50" s="40">
        <v>43480</v>
      </c>
      <c r="C50" s="47">
        <v>2610.3000000000002</v>
      </c>
      <c r="D50" s="81">
        <f t="shared" si="0"/>
        <v>1.0721711756711327E-2</v>
      </c>
      <c r="E50" s="40">
        <v>43480</v>
      </c>
      <c r="F50" s="24">
        <v>24.35</v>
      </c>
      <c r="G50" s="81">
        <f t="shared" si="1"/>
        <v>1.7551190973673192E-2</v>
      </c>
      <c r="L50" s="40">
        <v>43480</v>
      </c>
      <c r="M50" s="43">
        <v>1.0721700000000001E-2</v>
      </c>
      <c r="N50" s="1">
        <v>1.7551190973673192E-2</v>
      </c>
    </row>
    <row r="51" spans="2:14">
      <c r="B51" s="40">
        <v>43481</v>
      </c>
      <c r="C51" s="47">
        <v>2616.1</v>
      </c>
      <c r="D51" s="81">
        <f t="shared" si="0"/>
        <v>2.2219668237366541E-3</v>
      </c>
      <c r="E51" s="40">
        <v>43481</v>
      </c>
      <c r="F51" s="24">
        <v>24.84</v>
      </c>
      <c r="G51" s="81">
        <f t="shared" si="1"/>
        <v>2.0123203285420832E-2</v>
      </c>
      <c r="L51" s="40">
        <v>43481</v>
      </c>
      <c r="M51" s="43">
        <v>2.222E-3</v>
      </c>
      <c r="N51" s="1">
        <v>2.0123203285420832E-2</v>
      </c>
    </row>
    <row r="52" spans="2:14">
      <c r="B52" s="40">
        <v>43482</v>
      </c>
      <c r="C52" s="47">
        <v>2635.96</v>
      </c>
      <c r="D52" s="81">
        <f t="shared" si="0"/>
        <v>7.5914529261114083E-3</v>
      </c>
      <c r="E52" s="40">
        <v>43482</v>
      </c>
      <c r="F52" s="24">
        <v>24.84</v>
      </c>
      <c r="G52" s="81">
        <f t="shared" si="1"/>
        <v>0</v>
      </c>
      <c r="L52" s="40">
        <v>43482</v>
      </c>
      <c r="M52" s="43">
        <v>7.5915000000000002E-3</v>
      </c>
      <c r="N52" s="1">
        <v>0</v>
      </c>
    </row>
    <row r="53" spans="2:14">
      <c r="B53" s="40">
        <v>43483</v>
      </c>
      <c r="C53" s="47">
        <v>2670.71</v>
      </c>
      <c r="D53" s="81">
        <f t="shared" si="0"/>
        <v>1.3183052853609212E-2</v>
      </c>
      <c r="E53" s="40">
        <v>43483</v>
      </c>
      <c r="F53" s="24">
        <v>24.950001</v>
      </c>
      <c r="G53" s="81">
        <f t="shared" si="1"/>
        <v>4.4283816425121358E-3</v>
      </c>
      <c r="L53" s="40">
        <v>43483</v>
      </c>
      <c r="M53" s="43">
        <v>1.31831E-2</v>
      </c>
      <c r="N53" s="1">
        <v>4.4283816425121358E-3</v>
      </c>
    </row>
    <row r="54" spans="2:14">
      <c r="B54" s="40">
        <v>43487</v>
      </c>
      <c r="C54" s="47">
        <v>2632.9</v>
      </c>
      <c r="D54" s="81">
        <f t="shared" si="0"/>
        <v>-1.4157284018107563E-2</v>
      </c>
      <c r="E54" s="40">
        <v>43487</v>
      </c>
      <c r="F54" s="24">
        <v>24.68</v>
      </c>
      <c r="G54" s="81">
        <f t="shared" si="1"/>
        <v>-1.0821682932998677E-2</v>
      </c>
      <c r="L54" s="40">
        <v>43487</v>
      </c>
      <c r="M54" s="43">
        <v>-1.4157299999999999E-2</v>
      </c>
      <c r="N54" s="1">
        <v>-1.0821682932998677E-2</v>
      </c>
    </row>
    <row r="55" spans="2:14">
      <c r="B55" s="40">
        <v>43488</v>
      </c>
      <c r="C55" s="47">
        <v>2638.7</v>
      </c>
      <c r="D55" s="81">
        <f t="shared" si="0"/>
        <v>2.2028941471379238E-3</v>
      </c>
      <c r="E55" s="40">
        <v>43488</v>
      </c>
      <c r="F55" s="24">
        <v>24.629999000000002</v>
      </c>
      <c r="G55" s="81">
        <f t="shared" si="1"/>
        <v>-2.025972447325719E-3</v>
      </c>
      <c r="L55" s="40">
        <v>43488</v>
      </c>
      <c r="M55" s="43">
        <v>2.2028999999999998E-3</v>
      </c>
      <c r="N55" s="1">
        <v>-2.025972447325719E-3</v>
      </c>
    </row>
    <row r="56" spans="2:14">
      <c r="B56" s="40">
        <v>43489</v>
      </c>
      <c r="C56" s="47">
        <v>2642.33</v>
      </c>
      <c r="D56" s="81">
        <f t="shared" si="0"/>
        <v>1.3756774169098041E-3</v>
      </c>
      <c r="E56" s="40">
        <v>43489</v>
      </c>
      <c r="F56" s="24">
        <v>24.370000999999998</v>
      </c>
      <c r="G56" s="81">
        <f t="shared" si="1"/>
        <v>-1.0556151463912089E-2</v>
      </c>
      <c r="L56" s="40">
        <v>43489</v>
      </c>
      <c r="M56" s="43">
        <v>1.3757000000000001E-3</v>
      </c>
      <c r="N56" s="1">
        <v>-1.0556151463912089E-2</v>
      </c>
    </row>
    <row r="57" spans="2:14">
      <c r="B57" s="40">
        <v>43490</v>
      </c>
      <c r="C57" s="47">
        <v>2664.76</v>
      </c>
      <c r="D57" s="81">
        <f t="shared" si="0"/>
        <v>8.4887201825663006E-3</v>
      </c>
      <c r="E57" s="40">
        <v>43490</v>
      </c>
      <c r="F57" s="24">
        <v>24.15</v>
      </c>
      <c r="G57" s="81">
        <f t="shared" si="1"/>
        <v>-9.0275334826617204E-3</v>
      </c>
      <c r="L57" s="40">
        <v>43490</v>
      </c>
      <c r="M57" s="43">
        <v>8.4887000000000001E-3</v>
      </c>
      <c r="N57" s="1">
        <v>-9.0275334826617204E-3</v>
      </c>
    </row>
    <row r="58" spans="2:14">
      <c r="B58" s="40">
        <v>43493</v>
      </c>
      <c r="C58" s="47">
        <v>2643.85</v>
      </c>
      <c r="D58" s="81">
        <f t="shared" si="0"/>
        <v>-7.8468605052613993E-3</v>
      </c>
      <c r="E58" s="40">
        <v>43493</v>
      </c>
      <c r="F58" s="24">
        <v>23.77</v>
      </c>
      <c r="G58" s="81">
        <f t="shared" si="1"/>
        <v>-1.5734989648033104E-2</v>
      </c>
      <c r="L58" s="40">
        <v>43493</v>
      </c>
      <c r="M58" s="43">
        <v>-7.8469000000000004E-3</v>
      </c>
      <c r="N58" s="1">
        <v>-1.5734989648033104E-2</v>
      </c>
    </row>
    <row r="59" spans="2:14">
      <c r="B59" s="40">
        <v>43494</v>
      </c>
      <c r="C59" s="47">
        <v>2640</v>
      </c>
      <c r="D59" s="81">
        <f t="shared" si="0"/>
        <v>-1.4562096941959091E-3</v>
      </c>
      <c r="E59" s="40">
        <v>43494</v>
      </c>
      <c r="F59" s="24">
        <v>24.190000999999999</v>
      </c>
      <c r="G59" s="81">
        <f t="shared" si="1"/>
        <v>1.7669373159444612E-2</v>
      </c>
      <c r="L59" s="40">
        <v>43494</v>
      </c>
      <c r="M59" s="43">
        <v>-1.4561999999999999E-3</v>
      </c>
      <c r="N59" s="1">
        <v>1.7669373159444612E-2</v>
      </c>
    </row>
    <row r="60" spans="2:14">
      <c r="B60" s="40">
        <v>43495</v>
      </c>
      <c r="C60" s="47">
        <v>2681.05</v>
      </c>
      <c r="D60" s="81">
        <f t="shared" si="0"/>
        <v>1.5549242424242493E-2</v>
      </c>
      <c r="E60" s="40">
        <v>43495</v>
      </c>
      <c r="F60" s="24">
        <v>23.99</v>
      </c>
      <c r="G60" s="81">
        <f t="shared" si="1"/>
        <v>-8.2679202865679757E-3</v>
      </c>
      <c r="L60" s="40">
        <v>43495</v>
      </c>
      <c r="M60" s="43">
        <v>1.5549199999999999E-2</v>
      </c>
      <c r="N60" s="1">
        <v>-8.2679202865679757E-3</v>
      </c>
    </row>
    <row r="61" spans="2:14">
      <c r="B61" s="40">
        <v>43496</v>
      </c>
      <c r="C61" s="47">
        <v>2704.1</v>
      </c>
      <c r="D61" s="81">
        <f t="shared" si="0"/>
        <v>8.5973778929895328E-3</v>
      </c>
      <c r="E61" s="40">
        <v>43496</v>
      </c>
      <c r="F61" s="24">
        <v>23.98</v>
      </c>
      <c r="G61" s="81">
        <f t="shared" si="1"/>
        <v>-4.1684035014577514E-4</v>
      </c>
      <c r="L61" s="40">
        <v>43496</v>
      </c>
      <c r="M61" s="43">
        <v>8.5973999999999998E-3</v>
      </c>
      <c r="N61" s="1">
        <v>-4.1684035014577514E-4</v>
      </c>
    </row>
    <row r="62" spans="2:14">
      <c r="B62" s="40">
        <v>43497</v>
      </c>
      <c r="C62" s="47">
        <v>2706.53</v>
      </c>
      <c r="D62" s="81">
        <f t="shared" si="0"/>
        <v>8.98635405495396E-4</v>
      </c>
      <c r="E62" s="40">
        <v>43497</v>
      </c>
      <c r="F62" s="24">
        <v>23.469999000000001</v>
      </c>
      <c r="G62" s="81">
        <f t="shared" si="1"/>
        <v>-2.1267764804003275E-2</v>
      </c>
      <c r="L62" s="40">
        <v>43497</v>
      </c>
      <c r="M62" s="43">
        <v>8.9860000000000005E-4</v>
      </c>
      <c r="N62" s="1">
        <v>-2.1267764804003275E-2</v>
      </c>
    </row>
    <row r="63" spans="2:14">
      <c r="B63" s="40">
        <v>43500</v>
      </c>
      <c r="C63" s="47">
        <v>2724.87</v>
      </c>
      <c r="D63" s="81">
        <f t="shared" si="0"/>
        <v>6.7762042172079262E-3</v>
      </c>
      <c r="E63" s="40">
        <v>43500</v>
      </c>
      <c r="F63" s="24">
        <v>23.700001</v>
      </c>
      <c r="G63" s="81">
        <f t="shared" si="1"/>
        <v>9.7998299872104067E-3</v>
      </c>
      <c r="L63" s="40">
        <v>43500</v>
      </c>
      <c r="M63" s="43">
        <v>6.7761999999999996E-3</v>
      </c>
      <c r="N63" s="1">
        <v>9.7998299872104067E-3</v>
      </c>
    </row>
    <row r="64" spans="2:14">
      <c r="B64" s="40">
        <v>43501</v>
      </c>
      <c r="C64" s="47">
        <v>2737.7</v>
      </c>
      <c r="D64" s="81">
        <f t="shared" si="0"/>
        <v>4.7084815055395968E-3</v>
      </c>
      <c r="E64" s="40">
        <v>43501</v>
      </c>
      <c r="F64" s="24">
        <v>24.1</v>
      </c>
      <c r="G64" s="81">
        <f t="shared" si="1"/>
        <v>1.6877594224574022E-2</v>
      </c>
      <c r="L64" s="40">
        <v>43501</v>
      </c>
      <c r="M64" s="43">
        <v>4.7085E-3</v>
      </c>
      <c r="N64" s="1">
        <v>1.6877594224574022E-2</v>
      </c>
    </row>
    <row r="65" spans="2:14">
      <c r="B65" s="40">
        <v>43502</v>
      </c>
      <c r="C65" s="47">
        <v>2731.61</v>
      </c>
      <c r="D65" s="81">
        <f t="shared" si="0"/>
        <v>-2.224495014062744E-3</v>
      </c>
      <c r="E65" s="40">
        <v>43502</v>
      </c>
      <c r="F65" s="24">
        <v>23.92</v>
      </c>
      <c r="G65" s="81">
        <f t="shared" si="1"/>
        <v>-7.468879668049766E-3</v>
      </c>
      <c r="L65" s="40">
        <v>43502</v>
      </c>
      <c r="M65" s="43">
        <v>-2.2244999999999999E-3</v>
      </c>
      <c r="N65" s="1">
        <v>-7.468879668049766E-3</v>
      </c>
    </row>
    <row r="66" spans="2:14">
      <c r="B66" s="40">
        <v>43503</v>
      </c>
      <c r="C66" s="47">
        <v>2706.05</v>
      </c>
      <c r="D66" s="81">
        <f t="shared" si="0"/>
        <v>-9.3571190616522637E-3</v>
      </c>
      <c r="E66" s="40">
        <v>43503</v>
      </c>
      <c r="F66" s="24">
        <v>23.75</v>
      </c>
      <c r="G66" s="81">
        <f t="shared" si="1"/>
        <v>-7.1070234113712605E-3</v>
      </c>
      <c r="L66" s="40">
        <v>43503</v>
      </c>
      <c r="M66" s="43">
        <v>-9.3571000000000001E-3</v>
      </c>
      <c r="N66" s="1">
        <v>-7.1070234113712605E-3</v>
      </c>
    </row>
    <row r="67" spans="2:14">
      <c r="B67" s="40">
        <v>43504</v>
      </c>
      <c r="C67" s="47">
        <v>2707.88</v>
      </c>
      <c r="D67" s="81">
        <f t="shared" si="0"/>
        <v>6.7626244895691023E-4</v>
      </c>
      <c r="E67" s="40">
        <v>43504</v>
      </c>
      <c r="F67" s="24">
        <v>23.52</v>
      </c>
      <c r="G67" s="81">
        <f t="shared" si="1"/>
        <v>-9.6842105263158507E-3</v>
      </c>
      <c r="L67" s="40">
        <v>43504</v>
      </c>
      <c r="M67" s="43">
        <v>6.7630000000000001E-4</v>
      </c>
      <c r="N67" s="1">
        <v>-9.6842105263158507E-3</v>
      </c>
    </row>
    <row r="68" spans="2:14">
      <c r="B68" s="40">
        <v>43507</v>
      </c>
      <c r="C68" s="47">
        <v>2709.8</v>
      </c>
      <c r="D68" s="81">
        <f t="shared" si="0"/>
        <v>7.0904175960539995E-4</v>
      </c>
      <c r="E68" s="40">
        <v>43507</v>
      </c>
      <c r="F68" s="24">
        <v>23.700001</v>
      </c>
      <c r="G68" s="81">
        <f t="shared" si="1"/>
        <v>7.6531037414966363E-3</v>
      </c>
      <c r="L68" s="40">
        <v>43507</v>
      </c>
      <c r="M68" s="43">
        <v>7.0899999999999999E-4</v>
      </c>
      <c r="N68" s="1">
        <v>7.6531037414966363E-3</v>
      </c>
    </row>
    <row r="69" spans="2:14">
      <c r="B69" s="40">
        <v>43508</v>
      </c>
      <c r="C69" s="47">
        <v>2744.73</v>
      </c>
      <c r="D69" s="81">
        <f t="shared" si="0"/>
        <v>1.2890250202966858E-2</v>
      </c>
      <c r="E69" s="40">
        <v>43508</v>
      </c>
      <c r="F69" s="24">
        <v>23.82</v>
      </c>
      <c r="G69" s="81">
        <f t="shared" si="1"/>
        <v>5.0632487315085406E-3</v>
      </c>
      <c r="L69" s="40">
        <v>43508</v>
      </c>
      <c r="M69" s="43">
        <v>1.28903E-2</v>
      </c>
      <c r="N69" s="1">
        <v>5.0632487315085406E-3</v>
      </c>
    </row>
    <row r="70" spans="2:14">
      <c r="B70" s="40">
        <v>43509</v>
      </c>
      <c r="C70" s="47">
        <v>2753.03</v>
      </c>
      <c r="D70" s="81">
        <f t="shared" ref="D70:D133" si="2">C70/C69-1</f>
        <v>3.0239768574686909E-3</v>
      </c>
      <c r="E70" s="40">
        <v>43509</v>
      </c>
      <c r="F70" s="24">
        <v>23.98</v>
      </c>
      <c r="G70" s="81">
        <f t="shared" ref="G70:G133" si="3">F70/F69-1</f>
        <v>6.7170445004198776E-3</v>
      </c>
      <c r="L70" s="40">
        <v>43509</v>
      </c>
      <c r="M70" s="43">
        <v>3.0240000000000002E-3</v>
      </c>
      <c r="N70" s="1">
        <v>6.7170445004198776E-3</v>
      </c>
    </row>
    <row r="71" spans="2:14">
      <c r="B71" s="40">
        <v>43510</v>
      </c>
      <c r="C71" s="47">
        <v>2745.73</v>
      </c>
      <c r="D71" s="81">
        <f t="shared" si="2"/>
        <v>-2.6516238471793185E-3</v>
      </c>
      <c r="E71" s="40">
        <v>43510</v>
      </c>
      <c r="F71" s="24">
        <v>23.940000999999999</v>
      </c>
      <c r="G71" s="81">
        <f t="shared" si="3"/>
        <v>-1.6680150125104598E-3</v>
      </c>
      <c r="L71" s="40">
        <v>43510</v>
      </c>
      <c r="M71" s="43">
        <v>-2.6516000000000001E-3</v>
      </c>
      <c r="N71" s="1">
        <v>-1.6680150125104598E-3</v>
      </c>
    </row>
    <row r="72" spans="2:14">
      <c r="B72" s="40">
        <v>43511</v>
      </c>
      <c r="C72" s="47">
        <v>2775.6</v>
      </c>
      <c r="D72" s="81">
        <f t="shared" si="2"/>
        <v>1.0878709851296353E-2</v>
      </c>
      <c r="E72" s="40">
        <v>43511</v>
      </c>
      <c r="F72" s="24">
        <v>24.549999</v>
      </c>
      <c r="G72" s="81">
        <f t="shared" si="3"/>
        <v>2.5480282979102764E-2</v>
      </c>
      <c r="L72" s="40">
        <v>43511</v>
      </c>
      <c r="M72" s="43">
        <v>1.08787E-2</v>
      </c>
      <c r="N72" s="1">
        <v>2.5480282979102764E-2</v>
      </c>
    </row>
    <row r="73" spans="2:14">
      <c r="B73" s="40">
        <v>43515</v>
      </c>
      <c r="C73" s="47">
        <v>2779.76</v>
      </c>
      <c r="D73" s="81">
        <f t="shared" si="2"/>
        <v>1.4987750396311394E-3</v>
      </c>
      <c r="E73" s="40">
        <v>43515</v>
      </c>
      <c r="F73" s="24">
        <v>24.9</v>
      </c>
      <c r="G73" s="81">
        <f t="shared" si="3"/>
        <v>1.4256660458519699E-2</v>
      </c>
      <c r="L73" s="40">
        <v>43515</v>
      </c>
      <c r="M73" s="43">
        <v>1.4988E-3</v>
      </c>
      <c r="N73" s="1">
        <v>1.4256660458519699E-2</v>
      </c>
    </row>
    <row r="74" spans="2:14">
      <c r="B74" s="40">
        <v>43516</v>
      </c>
      <c r="C74" s="47">
        <v>2784.7</v>
      </c>
      <c r="D74" s="81">
        <f t="shared" si="2"/>
        <v>1.7771318387196366E-3</v>
      </c>
      <c r="E74" s="40">
        <v>43516</v>
      </c>
      <c r="F74" s="24">
        <v>24.139999</v>
      </c>
      <c r="G74" s="81">
        <f t="shared" si="3"/>
        <v>-3.0522128514056224E-2</v>
      </c>
      <c r="L74" s="40">
        <v>43516</v>
      </c>
      <c r="M74" s="43">
        <v>1.7771E-3</v>
      </c>
      <c r="N74" s="1">
        <v>-3.0522128514056224E-2</v>
      </c>
    </row>
    <row r="75" spans="2:14">
      <c r="B75" s="40">
        <v>43517</v>
      </c>
      <c r="C75" s="47">
        <v>2774.88</v>
      </c>
      <c r="D75" s="81">
        <f t="shared" si="2"/>
        <v>-3.526412180845262E-3</v>
      </c>
      <c r="E75" s="40">
        <v>43517</v>
      </c>
      <c r="F75" s="24">
        <v>23.290001</v>
      </c>
      <c r="G75" s="81">
        <f t="shared" si="3"/>
        <v>-3.5211186214216483E-2</v>
      </c>
      <c r="L75" s="40">
        <v>43517</v>
      </c>
      <c r="M75" s="43">
        <v>-3.5263999999999998E-3</v>
      </c>
      <c r="N75" s="1">
        <v>-3.5211186214216483E-2</v>
      </c>
    </row>
    <row r="76" spans="2:14">
      <c r="B76" s="40">
        <v>43518</v>
      </c>
      <c r="C76" s="47">
        <v>2792.67</v>
      </c>
      <c r="D76" s="81">
        <f t="shared" si="2"/>
        <v>6.4110880470507059E-3</v>
      </c>
      <c r="E76" s="40">
        <v>43518</v>
      </c>
      <c r="F76" s="24">
        <v>23.48</v>
      </c>
      <c r="G76" s="81">
        <f t="shared" si="3"/>
        <v>8.157964441478649E-3</v>
      </c>
      <c r="L76" s="40">
        <v>43518</v>
      </c>
      <c r="M76" s="43">
        <v>6.4111000000000003E-3</v>
      </c>
      <c r="N76" s="1">
        <v>8.157964441478649E-3</v>
      </c>
    </row>
    <row r="77" spans="2:14">
      <c r="B77" s="40">
        <v>43521</v>
      </c>
      <c r="C77" s="47">
        <v>2796.11</v>
      </c>
      <c r="D77" s="81">
        <f t="shared" si="2"/>
        <v>1.2317960947767492E-3</v>
      </c>
      <c r="E77" s="40">
        <v>43521</v>
      </c>
      <c r="F77" s="24">
        <v>23.690000999999999</v>
      </c>
      <c r="G77" s="81">
        <f t="shared" si="3"/>
        <v>8.943824531516098E-3</v>
      </c>
      <c r="L77" s="40">
        <v>43521</v>
      </c>
      <c r="M77" s="43">
        <v>1.2317999999999999E-3</v>
      </c>
      <c r="N77" s="1">
        <v>8.943824531516098E-3</v>
      </c>
    </row>
    <row r="78" spans="2:14">
      <c r="B78" s="40">
        <v>43522</v>
      </c>
      <c r="C78" s="47">
        <v>2793.9</v>
      </c>
      <c r="D78" s="81">
        <f t="shared" si="2"/>
        <v>-7.9038378318452285E-4</v>
      </c>
      <c r="E78" s="40">
        <v>43522</v>
      </c>
      <c r="F78" s="24">
        <v>23.32</v>
      </c>
      <c r="G78" s="81">
        <f t="shared" si="3"/>
        <v>-1.5618445942657377E-2</v>
      </c>
      <c r="L78" s="40">
        <v>43522</v>
      </c>
      <c r="M78" s="43">
        <v>-7.9040000000000002E-4</v>
      </c>
      <c r="N78" s="1">
        <v>-1.5618445942657377E-2</v>
      </c>
    </row>
    <row r="79" spans="2:14">
      <c r="B79" s="40">
        <v>43523</v>
      </c>
      <c r="C79" s="47">
        <v>2792.38</v>
      </c>
      <c r="D79" s="81">
        <f t="shared" si="2"/>
        <v>-5.4404237803784561E-4</v>
      </c>
      <c r="E79" s="40">
        <v>43523</v>
      </c>
      <c r="F79" s="24">
        <v>23.290001</v>
      </c>
      <c r="G79" s="81">
        <f t="shared" si="3"/>
        <v>-1.2864065180102635E-3</v>
      </c>
      <c r="L79" s="40">
        <v>43523</v>
      </c>
      <c r="M79" s="43">
        <v>-5.44E-4</v>
      </c>
      <c r="N79" s="1">
        <v>-1.2864065180102635E-3</v>
      </c>
    </row>
    <row r="80" spans="2:14">
      <c r="B80" s="40">
        <v>43524</v>
      </c>
      <c r="C80" s="47">
        <v>2784.49</v>
      </c>
      <c r="D80" s="81">
        <f t="shared" si="2"/>
        <v>-2.8255466662847617E-3</v>
      </c>
      <c r="E80" s="40">
        <v>43524</v>
      </c>
      <c r="F80" s="24">
        <v>23.32</v>
      </c>
      <c r="G80" s="81">
        <f t="shared" si="3"/>
        <v>1.2880634912810773E-3</v>
      </c>
      <c r="L80" s="40">
        <v>43524</v>
      </c>
      <c r="M80" s="43">
        <v>-2.8254999999999999E-3</v>
      </c>
      <c r="N80" s="1">
        <v>1.2880634912810773E-3</v>
      </c>
    </row>
    <row r="81" spans="2:14">
      <c r="B81" s="40">
        <v>43525</v>
      </c>
      <c r="C81" s="47">
        <v>2803.69</v>
      </c>
      <c r="D81" s="81">
        <f t="shared" si="2"/>
        <v>6.8953381050032014E-3</v>
      </c>
      <c r="E81" s="40">
        <v>43525</v>
      </c>
      <c r="F81" s="24">
        <v>23.200001</v>
      </c>
      <c r="G81" s="81">
        <f t="shared" si="3"/>
        <v>-5.145754716981088E-3</v>
      </c>
      <c r="L81" s="40">
        <v>43525</v>
      </c>
      <c r="M81" s="43">
        <v>6.8953E-3</v>
      </c>
      <c r="N81" s="1">
        <v>-5.145754716981088E-3</v>
      </c>
    </row>
    <row r="82" spans="2:14">
      <c r="B82" s="40">
        <v>43528</v>
      </c>
      <c r="C82" s="47">
        <v>2792.81</v>
      </c>
      <c r="D82" s="81">
        <f t="shared" si="2"/>
        <v>-3.8806002090102654E-3</v>
      </c>
      <c r="E82" s="40">
        <v>43528</v>
      </c>
      <c r="F82" s="24">
        <v>23.120000999999998</v>
      </c>
      <c r="G82" s="81">
        <f t="shared" si="3"/>
        <v>-3.4482757134364217E-3</v>
      </c>
      <c r="L82" s="40">
        <v>43528</v>
      </c>
      <c r="M82" s="43">
        <v>-3.8806000000000001E-3</v>
      </c>
      <c r="N82" s="1">
        <v>-3.4482757134364217E-3</v>
      </c>
    </row>
    <row r="83" spans="2:14">
      <c r="B83" s="40">
        <v>43529</v>
      </c>
      <c r="C83" s="47">
        <v>2789.65</v>
      </c>
      <c r="D83" s="81">
        <f t="shared" si="2"/>
        <v>-1.1314768996100177E-3</v>
      </c>
      <c r="E83" s="40">
        <v>43529</v>
      </c>
      <c r="F83" s="24">
        <v>23.120000999999998</v>
      </c>
      <c r="G83" s="81">
        <f t="shared" si="3"/>
        <v>0</v>
      </c>
      <c r="L83" s="40">
        <v>43529</v>
      </c>
      <c r="M83" s="43">
        <v>-1.1314999999999999E-3</v>
      </c>
      <c r="N83" s="1">
        <v>0</v>
      </c>
    </row>
    <row r="84" spans="2:14">
      <c r="B84" s="40">
        <v>43530</v>
      </c>
      <c r="C84" s="47">
        <v>2771.45</v>
      </c>
      <c r="D84" s="81">
        <f t="shared" si="2"/>
        <v>-6.5241159285216455E-3</v>
      </c>
      <c r="E84" s="40">
        <v>43530</v>
      </c>
      <c r="F84" s="24">
        <v>23.030000999999999</v>
      </c>
      <c r="G84" s="81">
        <f t="shared" si="3"/>
        <v>-3.8927333956429999E-3</v>
      </c>
      <c r="L84" s="40">
        <v>43530</v>
      </c>
      <c r="M84" s="43">
        <v>-6.5240999999999997E-3</v>
      </c>
      <c r="N84" s="1">
        <v>-3.8927333956429999E-3</v>
      </c>
    </row>
    <row r="85" spans="2:14">
      <c r="B85" s="40">
        <v>43531</v>
      </c>
      <c r="C85" s="47">
        <v>2748.93</v>
      </c>
      <c r="D85" s="81">
        <f t="shared" si="2"/>
        <v>-8.1257103682187415E-3</v>
      </c>
      <c r="E85" s="40">
        <v>43531</v>
      </c>
      <c r="F85" s="24">
        <v>22.85</v>
      </c>
      <c r="G85" s="81">
        <f t="shared" si="3"/>
        <v>-7.8159353966158474E-3</v>
      </c>
      <c r="L85" s="40">
        <v>43531</v>
      </c>
      <c r="M85" s="43">
        <v>-8.1256999999999996E-3</v>
      </c>
      <c r="N85" s="1">
        <v>-7.8159353966158474E-3</v>
      </c>
    </row>
    <row r="86" spans="2:14">
      <c r="B86" s="40">
        <v>43532</v>
      </c>
      <c r="C86" s="47">
        <v>2743.07</v>
      </c>
      <c r="D86" s="81">
        <f t="shared" si="2"/>
        <v>-2.1317385309919112E-3</v>
      </c>
      <c r="E86" s="40">
        <v>43532</v>
      </c>
      <c r="F86" s="24">
        <v>22.110001</v>
      </c>
      <c r="G86" s="81">
        <f t="shared" si="3"/>
        <v>-3.2385076586433303E-2</v>
      </c>
      <c r="L86" s="40">
        <v>43532</v>
      </c>
      <c r="M86" s="43">
        <v>-2.1316999999999998E-3</v>
      </c>
      <c r="N86" s="1">
        <v>-3.2385076586433303E-2</v>
      </c>
    </row>
    <row r="87" spans="2:14">
      <c r="B87" s="40">
        <v>43535</v>
      </c>
      <c r="C87" s="47">
        <v>2783.3</v>
      </c>
      <c r="D87" s="81">
        <f t="shared" si="2"/>
        <v>1.4666049353461608E-2</v>
      </c>
      <c r="E87" s="40">
        <v>43535</v>
      </c>
      <c r="F87" s="24">
        <v>22.219999000000001</v>
      </c>
      <c r="G87" s="81">
        <f t="shared" si="3"/>
        <v>4.9750336962897102E-3</v>
      </c>
      <c r="L87" s="40">
        <v>43535</v>
      </c>
      <c r="M87" s="43">
        <v>1.4666E-2</v>
      </c>
      <c r="N87" s="1">
        <v>4.9750336962897102E-3</v>
      </c>
    </row>
    <row r="88" spans="2:14">
      <c r="B88" s="40">
        <v>43536</v>
      </c>
      <c r="C88" s="47">
        <v>2791.52</v>
      </c>
      <c r="D88" s="81">
        <f t="shared" si="2"/>
        <v>2.9533287823806376E-3</v>
      </c>
      <c r="E88" s="40">
        <v>43536</v>
      </c>
      <c r="F88" s="24">
        <v>21.950001</v>
      </c>
      <c r="G88" s="81">
        <f t="shared" si="3"/>
        <v>-1.2151125659366602E-2</v>
      </c>
      <c r="L88" s="40">
        <v>43536</v>
      </c>
      <c r="M88" s="43">
        <v>2.9532999999999998E-3</v>
      </c>
      <c r="N88" s="1">
        <v>-1.2151125659366602E-2</v>
      </c>
    </row>
    <row r="89" spans="2:14">
      <c r="B89" s="40">
        <v>43537</v>
      </c>
      <c r="C89" s="47">
        <v>2810.92</v>
      </c>
      <c r="D89" s="81">
        <f t="shared" si="2"/>
        <v>6.9496188456468211E-3</v>
      </c>
      <c r="E89" s="40">
        <v>43537</v>
      </c>
      <c r="F89" s="24">
        <v>22.280000999999999</v>
      </c>
      <c r="G89" s="81">
        <f t="shared" si="3"/>
        <v>1.5034167879992344E-2</v>
      </c>
      <c r="L89" s="40">
        <v>43537</v>
      </c>
      <c r="M89" s="43">
        <v>6.9496000000000002E-3</v>
      </c>
      <c r="N89" s="1">
        <v>1.5034167879992344E-2</v>
      </c>
    </row>
    <row r="90" spans="2:14">
      <c r="B90" s="40">
        <v>43538</v>
      </c>
      <c r="C90" s="47">
        <v>2808.48</v>
      </c>
      <c r="D90" s="81">
        <f t="shared" si="2"/>
        <v>-8.6804320293709658E-4</v>
      </c>
      <c r="E90" s="40">
        <v>43538</v>
      </c>
      <c r="F90" s="24">
        <v>22.309999000000001</v>
      </c>
      <c r="G90" s="81">
        <f t="shared" si="3"/>
        <v>1.3464092752959456E-3</v>
      </c>
      <c r="L90" s="40">
        <v>43538</v>
      </c>
      <c r="M90" s="43">
        <v>-8.6799999999999996E-4</v>
      </c>
      <c r="N90" s="1">
        <v>1.3464092752959456E-3</v>
      </c>
    </row>
    <row r="91" spans="2:14">
      <c r="B91" s="40">
        <v>43539</v>
      </c>
      <c r="C91" s="47">
        <v>2822.48</v>
      </c>
      <c r="D91" s="81">
        <f t="shared" si="2"/>
        <v>4.9849028656070438E-3</v>
      </c>
      <c r="E91" s="40">
        <v>43539</v>
      </c>
      <c r="F91" s="24">
        <v>22.389999</v>
      </c>
      <c r="G91" s="81">
        <f t="shared" si="3"/>
        <v>3.585836108733087E-3</v>
      </c>
      <c r="L91" s="40">
        <v>43539</v>
      </c>
      <c r="M91" s="43">
        <v>4.9848999999999996E-3</v>
      </c>
      <c r="N91" s="1">
        <v>3.585836108733087E-3</v>
      </c>
    </row>
    <row r="92" spans="2:14">
      <c r="B92" s="40">
        <v>43542</v>
      </c>
      <c r="C92" s="47">
        <v>2832.94</v>
      </c>
      <c r="D92" s="81">
        <f t="shared" si="2"/>
        <v>3.7059607153993035E-3</v>
      </c>
      <c r="E92" s="40">
        <v>43542</v>
      </c>
      <c r="F92" s="24">
        <v>22.530000999999999</v>
      </c>
      <c r="G92" s="81">
        <f t="shared" si="3"/>
        <v>6.2528810296060833E-3</v>
      </c>
      <c r="L92" s="40">
        <v>43542</v>
      </c>
      <c r="M92" s="43">
        <v>3.7060000000000001E-3</v>
      </c>
      <c r="N92" s="1">
        <v>6.2528810296060833E-3</v>
      </c>
    </row>
    <row r="93" spans="2:14">
      <c r="B93" s="40">
        <v>43543</v>
      </c>
      <c r="C93" s="47">
        <v>2832.57</v>
      </c>
      <c r="D93" s="81">
        <f t="shared" si="2"/>
        <v>-1.3060636653083879E-4</v>
      </c>
      <c r="E93" s="40">
        <v>43543</v>
      </c>
      <c r="F93" s="24">
        <v>22.139999</v>
      </c>
      <c r="G93" s="81">
        <f t="shared" si="3"/>
        <v>-1.7310340998209384E-2</v>
      </c>
      <c r="L93" s="40">
        <v>43543</v>
      </c>
      <c r="M93" s="43">
        <v>-1.306E-4</v>
      </c>
      <c r="N93" s="1">
        <v>-1.7310340998209384E-2</v>
      </c>
    </row>
    <row r="94" spans="2:14">
      <c r="B94" s="40">
        <v>43544</v>
      </c>
      <c r="C94" s="47">
        <v>2824.23</v>
      </c>
      <c r="D94" s="81">
        <f t="shared" si="2"/>
        <v>-2.9443226469249018E-3</v>
      </c>
      <c r="E94" s="40">
        <v>43544</v>
      </c>
      <c r="F94" s="24">
        <v>22.059999000000001</v>
      </c>
      <c r="G94" s="81">
        <f t="shared" si="3"/>
        <v>-3.6133696302333984E-3</v>
      </c>
      <c r="L94" s="40">
        <v>43544</v>
      </c>
      <c r="M94" s="43">
        <v>-2.9443E-3</v>
      </c>
      <c r="N94" s="1">
        <v>-3.6133696302333984E-3</v>
      </c>
    </row>
    <row r="95" spans="2:14">
      <c r="B95" s="40">
        <v>43545</v>
      </c>
      <c r="C95" s="47">
        <v>2854.88</v>
      </c>
      <c r="D95" s="81">
        <f t="shared" si="2"/>
        <v>1.0852515552911779E-2</v>
      </c>
      <c r="E95" s="40">
        <v>43545</v>
      </c>
      <c r="F95" s="24">
        <v>22.51</v>
      </c>
      <c r="G95" s="81">
        <f t="shared" si="3"/>
        <v>2.0398958313642801E-2</v>
      </c>
      <c r="L95" s="40">
        <v>43545</v>
      </c>
      <c r="M95" s="43">
        <v>1.0852499999999999E-2</v>
      </c>
      <c r="N95" s="1">
        <v>2.0398958313642801E-2</v>
      </c>
    </row>
    <row r="96" spans="2:14">
      <c r="B96" s="40">
        <v>43546</v>
      </c>
      <c r="C96" s="47">
        <v>2800.71</v>
      </c>
      <c r="D96" s="81">
        <f t="shared" si="2"/>
        <v>-1.8974527826038257E-2</v>
      </c>
      <c r="E96" s="40">
        <v>43546</v>
      </c>
      <c r="F96" s="24">
        <v>22.610001</v>
      </c>
      <c r="G96" s="81">
        <f t="shared" si="3"/>
        <v>4.4425144380275672E-3</v>
      </c>
      <c r="L96" s="40">
        <v>43546</v>
      </c>
      <c r="M96" s="43">
        <v>-1.8974499999999998E-2</v>
      </c>
      <c r="N96" s="1">
        <v>4.4425144380275672E-3</v>
      </c>
    </row>
    <row r="97" spans="2:14">
      <c r="B97" s="40">
        <v>43549</v>
      </c>
      <c r="C97" s="47">
        <v>2798.36</v>
      </c>
      <c r="D97" s="81">
        <f t="shared" si="2"/>
        <v>-8.3907294935925414E-4</v>
      </c>
      <c r="E97" s="40">
        <v>43549</v>
      </c>
      <c r="F97" s="24">
        <v>22.620000999999998</v>
      </c>
      <c r="G97" s="81">
        <f t="shared" si="3"/>
        <v>4.4228215646691105E-4</v>
      </c>
      <c r="L97" s="40">
        <v>43549</v>
      </c>
      <c r="M97" s="43">
        <v>-8.3909999999999996E-4</v>
      </c>
      <c r="N97" s="1">
        <v>4.4228215646691105E-4</v>
      </c>
    </row>
    <row r="98" spans="2:14">
      <c r="B98" s="40">
        <v>43550</v>
      </c>
      <c r="C98" s="47">
        <v>2818.46</v>
      </c>
      <c r="D98" s="81">
        <f t="shared" si="2"/>
        <v>7.1827784845408527E-3</v>
      </c>
      <c r="E98" s="40">
        <v>43550</v>
      </c>
      <c r="F98" s="24">
        <v>22.559999000000001</v>
      </c>
      <c r="G98" s="81">
        <f t="shared" si="3"/>
        <v>-2.6526081939606261E-3</v>
      </c>
      <c r="L98" s="40">
        <v>43550</v>
      </c>
      <c r="M98" s="43">
        <v>7.1827999999999996E-3</v>
      </c>
      <c r="N98" s="1">
        <v>-2.6526081939606261E-3</v>
      </c>
    </row>
    <row r="99" spans="2:14">
      <c r="B99" s="40">
        <v>43551</v>
      </c>
      <c r="C99" s="47">
        <v>2805.37</v>
      </c>
      <c r="D99" s="81">
        <f t="shared" si="2"/>
        <v>-4.6443802643997278E-3</v>
      </c>
      <c r="E99" s="40">
        <v>43551</v>
      </c>
      <c r="F99" s="24">
        <v>21.74</v>
      </c>
      <c r="G99" s="81">
        <f t="shared" si="3"/>
        <v>-3.6347475015402364E-2</v>
      </c>
      <c r="L99" s="40">
        <v>43551</v>
      </c>
      <c r="M99" s="43">
        <v>-4.6443999999999999E-3</v>
      </c>
      <c r="N99" s="1">
        <v>-3.6347475015402364E-2</v>
      </c>
    </row>
    <row r="100" spans="2:14">
      <c r="B100" s="40">
        <v>43552</v>
      </c>
      <c r="C100" s="47">
        <v>2815.44</v>
      </c>
      <c r="D100" s="81">
        <f t="shared" si="2"/>
        <v>3.5895443381801506E-3</v>
      </c>
      <c r="E100" s="40">
        <v>43552</v>
      </c>
      <c r="F100" s="24">
        <v>21.709999</v>
      </c>
      <c r="G100" s="81">
        <f t="shared" si="3"/>
        <v>-1.3799908003678807E-3</v>
      </c>
      <c r="L100" s="40">
        <v>43552</v>
      </c>
      <c r="M100" s="43">
        <v>3.5894999999999998E-3</v>
      </c>
      <c r="N100" s="1">
        <v>-1.3799908003678807E-3</v>
      </c>
    </row>
    <row r="101" spans="2:14">
      <c r="B101" s="40">
        <v>43553</v>
      </c>
      <c r="C101" s="47">
        <v>2834.4</v>
      </c>
      <c r="D101" s="81">
        <f t="shared" si="2"/>
        <v>6.7342937515983969E-3</v>
      </c>
      <c r="E101" s="40">
        <v>43553</v>
      </c>
      <c r="F101" s="24">
        <v>21.540001</v>
      </c>
      <c r="G101" s="81">
        <f t="shared" si="3"/>
        <v>-7.8304010976693039E-3</v>
      </c>
      <c r="L101" s="40">
        <v>43553</v>
      </c>
      <c r="M101" s="43">
        <v>6.7343000000000004E-3</v>
      </c>
      <c r="N101" s="1">
        <v>-7.8304010976693039E-3</v>
      </c>
    </row>
    <row r="102" spans="2:14">
      <c r="B102" s="40">
        <v>43556</v>
      </c>
      <c r="C102" s="47">
        <v>2867.19</v>
      </c>
      <c r="D102" s="81">
        <f t="shared" si="2"/>
        <v>1.1568585944115251E-2</v>
      </c>
      <c r="E102" s="40">
        <v>43556</v>
      </c>
      <c r="F102" s="24">
        <v>21.67</v>
      </c>
      <c r="G102" s="81">
        <f t="shared" si="3"/>
        <v>6.0352364886149257E-3</v>
      </c>
      <c r="L102" s="40">
        <v>43556</v>
      </c>
      <c r="M102" s="43">
        <v>1.15686E-2</v>
      </c>
      <c r="N102" s="1">
        <v>6.0352364886149257E-3</v>
      </c>
    </row>
    <row r="103" spans="2:14">
      <c r="B103" s="40">
        <v>43557</v>
      </c>
      <c r="C103" s="47">
        <v>2867.24</v>
      </c>
      <c r="D103" s="81">
        <f t="shared" si="2"/>
        <v>1.7438676892522764E-5</v>
      </c>
      <c r="E103" s="40">
        <v>43557</v>
      </c>
      <c r="F103" s="24">
        <v>21.09</v>
      </c>
      <c r="G103" s="81">
        <f t="shared" si="3"/>
        <v>-2.6765113059529333E-2</v>
      </c>
      <c r="L103" s="40">
        <v>43557</v>
      </c>
      <c r="M103" s="43">
        <v>1.7439999999999999E-5</v>
      </c>
      <c r="N103" s="1">
        <v>-2.6765113059529333E-2</v>
      </c>
    </row>
    <row r="104" spans="2:14">
      <c r="B104" s="40">
        <v>43558</v>
      </c>
      <c r="C104" s="47">
        <v>2873.4</v>
      </c>
      <c r="D104" s="81">
        <f t="shared" si="2"/>
        <v>2.1484075277968806E-3</v>
      </c>
      <c r="E104" s="40">
        <v>43558</v>
      </c>
      <c r="F104" s="24">
        <v>20.92</v>
      </c>
      <c r="G104" s="81">
        <f t="shared" si="3"/>
        <v>-8.060692271218528E-3</v>
      </c>
      <c r="L104" s="40">
        <v>43558</v>
      </c>
      <c r="M104" s="43">
        <v>2.1484E-3</v>
      </c>
      <c r="N104" s="1">
        <v>-8.060692271218528E-3</v>
      </c>
    </row>
    <row r="105" spans="2:14">
      <c r="B105" s="40">
        <v>43559</v>
      </c>
      <c r="C105" s="47">
        <v>2879.39</v>
      </c>
      <c r="D105" s="81">
        <f t="shared" si="2"/>
        <v>2.0846384074615365E-3</v>
      </c>
      <c r="E105" s="40">
        <v>43559</v>
      </c>
      <c r="F105" s="24">
        <v>21.280000999999999</v>
      </c>
      <c r="G105" s="81">
        <f t="shared" si="3"/>
        <v>1.7208460803059156E-2</v>
      </c>
      <c r="L105" s="40">
        <v>43559</v>
      </c>
      <c r="M105" s="43">
        <v>2.0845999999999998E-3</v>
      </c>
      <c r="N105" s="1">
        <v>1.7208460803059156E-2</v>
      </c>
    </row>
    <row r="106" spans="2:14">
      <c r="B106" s="40">
        <v>43560</v>
      </c>
      <c r="C106" s="47">
        <v>2892.74</v>
      </c>
      <c r="D106" s="81">
        <f t="shared" si="2"/>
        <v>4.6363986816650993E-3</v>
      </c>
      <c r="E106" s="40">
        <v>43560</v>
      </c>
      <c r="F106" s="24">
        <v>21.48</v>
      </c>
      <c r="G106" s="81">
        <f t="shared" si="3"/>
        <v>9.3984488064640104E-3</v>
      </c>
      <c r="L106" s="40">
        <v>43560</v>
      </c>
      <c r="M106" s="43">
        <v>4.6363999999999997E-3</v>
      </c>
      <c r="N106" s="1">
        <v>9.3984488064640104E-3</v>
      </c>
    </row>
    <row r="107" spans="2:14">
      <c r="B107" s="40">
        <v>43563</v>
      </c>
      <c r="C107" s="47">
        <v>2895.77</v>
      </c>
      <c r="D107" s="81">
        <f t="shared" si="2"/>
        <v>1.0474498226595852E-3</v>
      </c>
      <c r="E107" s="40">
        <v>43563</v>
      </c>
      <c r="F107" s="24">
        <v>21.379999000000002</v>
      </c>
      <c r="G107" s="81">
        <f t="shared" si="3"/>
        <v>-4.6555400372438882E-3</v>
      </c>
      <c r="L107" s="40">
        <v>43563</v>
      </c>
      <c r="M107" s="43">
        <v>1.0474E-3</v>
      </c>
      <c r="N107" s="1">
        <v>-4.6555400372438882E-3</v>
      </c>
    </row>
    <row r="108" spans="2:14">
      <c r="B108" s="40">
        <v>43564</v>
      </c>
      <c r="C108" s="47">
        <v>2878.2</v>
      </c>
      <c r="D108" s="81">
        <f t="shared" si="2"/>
        <v>-6.0674708281390766E-3</v>
      </c>
      <c r="E108" s="40">
        <v>43564</v>
      </c>
      <c r="F108" s="24">
        <v>21.25</v>
      </c>
      <c r="G108" s="81">
        <f t="shared" si="3"/>
        <v>-6.0804025294857178E-3</v>
      </c>
      <c r="L108" s="40">
        <v>43564</v>
      </c>
      <c r="M108" s="43">
        <v>-6.0675E-3</v>
      </c>
      <c r="N108" s="1">
        <v>-6.0804025294857178E-3</v>
      </c>
    </row>
    <row r="109" spans="2:14">
      <c r="B109" s="40">
        <v>43565</v>
      </c>
      <c r="C109" s="47">
        <v>2888.21</v>
      </c>
      <c r="D109" s="81">
        <f t="shared" si="2"/>
        <v>3.4778681120144483E-3</v>
      </c>
      <c r="E109" s="40">
        <v>43565</v>
      </c>
      <c r="F109" s="24">
        <v>21.549999</v>
      </c>
      <c r="G109" s="81">
        <f t="shared" si="3"/>
        <v>1.4117600000000063E-2</v>
      </c>
      <c r="L109" s="40">
        <v>43565</v>
      </c>
      <c r="M109" s="43">
        <v>3.4778999999999999E-3</v>
      </c>
      <c r="N109" s="1">
        <v>1.4117600000000063E-2</v>
      </c>
    </row>
    <row r="110" spans="2:14">
      <c r="B110" s="40">
        <v>43566</v>
      </c>
      <c r="C110" s="47">
        <v>2888.32</v>
      </c>
      <c r="D110" s="81">
        <f t="shared" si="2"/>
        <v>3.808587325715429E-5</v>
      </c>
      <c r="E110" s="40">
        <v>43566</v>
      </c>
      <c r="F110" s="24">
        <v>21.59</v>
      </c>
      <c r="G110" s="81">
        <f t="shared" si="3"/>
        <v>1.856194981725956E-3</v>
      </c>
      <c r="L110" s="40">
        <v>43566</v>
      </c>
      <c r="M110" s="43">
        <v>3.8090000000000003E-5</v>
      </c>
      <c r="N110" s="1">
        <v>1.856194981725956E-3</v>
      </c>
    </row>
    <row r="111" spans="2:14">
      <c r="B111" s="40">
        <v>43567</v>
      </c>
      <c r="C111" s="47">
        <v>2907.41</v>
      </c>
      <c r="D111" s="81">
        <f t="shared" si="2"/>
        <v>6.6093784622200946E-3</v>
      </c>
      <c r="E111" s="40">
        <v>43567</v>
      </c>
      <c r="F111" s="24">
        <v>21.33</v>
      </c>
      <c r="G111" s="81">
        <f t="shared" si="3"/>
        <v>-1.2042612320518842E-2</v>
      </c>
      <c r="L111" s="40">
        <v>43567</v>
      </c>
      <c r="M111" s="43">
        <v>6.6093999999999997E-3</v>
      </c>
      <c r="N111" s="1">
        <v>-1.2042612320518842E-2</v>
      </c>
    </row>
    <row r="112" spans="2:14">
      <c r="B112" s="40">
        <v>43570</v>
      </c>
      <c r="C112" s="47">
        <v>2905.58</v>
      </c>
      <c r="D112" s="81">
        <f t="shared" si="2"/>
        <v>-6.2942619032058111E-4</v>
      </c>
      <c r="E112" s="40">
        <v>43570</v>
      </c>
      <c r="F112" s="24">
        <v>21.360001</v>
      </c>
      <c r="G112" s="81">
        <f t="shared" si="3"/>
        <v>1.4065166432255527E-3</v>
      </c>
      <c r="L112" s="40">
        <v>43570</v>
      </c>
      <c r="M112" s="43">
        <v>-6.2940000000000001E-4</v>
      </c>
      <c r="N112" s="1">
        <v>1.4065166432255527E-3</v>
      </c>
    </row>
    <row r="113" spans="2:14">
      <c r="B113" s="40">
        <v>43571</v>
      </c>
      <c r="C113" s="47">
        <v>2907.06</v>
      </c>
      <c r="D113" s="81">
        <f t="shared" si="2"/>
        <v>5.0936473956997297E-4</v>
      </c>
      <c r="E113" s="40">
        <v>43571</v>
      </c>
      <c r="F113" s="24">
        <v>21.200001</v>
      </c>
      <c r="G113" s="81">
        <f t="shared" si="3"/>
        <v>-7.4906363534346099E-3</v>
      </c>
      <c r="L113" s="40">
        <v>43571</v>
      </c>
      <c r="M113" s="43">
        <v>5.0940000000000002E-4</v>
      </c>
      <c r="N113" s="1">
        <v>-7.4906363534346099E-3</v>
      </c>
    </row>
    <row r="114" spans="2:14">
      <c r="B114" s="40">
        <v>43572</v>
      </c>
      <c r="C114" s="47">
        <v>2900.45</v>
      </c>
      <c r="D114" s="81">
        <f t="shared" si="2"/>
        <v>-2.2737748790875312E-3</v>
      </c>
      <c r="E114" s="40">
        <v>43572</v>
      </c>
      <c r="F114" s="24">
        <v>21.559999000000001</v>
      </c>
      <c r="G114" s="81">
        <f t="shared" si="3"/>
        <v>1.6981036934856863E-2</v>
      </c>
      <c r="L114" s="40">
        <v>43572</v>
      </c>
      <c r="M114" s="43">
        <v>-2.2737999999999999E-3</v>
      </c>
      <c r="N114" s="1">
        <v>1.6981036934856863E-2</v>
      </c>
    </row>
    <row r="115" spans="2:14">
      <c r="B115" s="40">
        <v>43573</v>
      </c>
      <c r="C115" s="47">
        <v>2905.03</v>
      </c>
      <c r="D115" s="81">
        <f t="shared" si="2"/>
        <v>1.5790653174507785E-3</v>
      </c>
      <c r="E115" s="40">
        <v>43573</v>
      </c>
      <c r="F115" s="24">
        <v>21.57</v>
      </c>
      <c r="G115" s="81">
        <f t="shared" si="3"/>
        <v>4.6386829609779134E-4</v>
      </c>
      <c r="L115" s="40">
        <v>43573</v>
      </c>
      <c r="M115" s="43">
        <v>1.5790999999999999E-3</v>
      </c>
      <c r="N115" s="1">
        <v>4.6386829609779134E-4</v>
      </c>
    </row>
    <row r="116" spans="2:14">
      <c r="B116" s="40">
        <v>43577</v>
      </c>
      <c r="C116" s="47">
        <v>2907.97</v>
      </c>
      <c r="D116" s="81">
        <f t="shared" si="2"/>
        <v>1.0120377414346571E-3</v>
      </c>
      <c r="E116" s="40">
        <v>43577</v>
      </c>
      <c r="F116" s="24">
        <v>21.02</v>
      </c>
      <c r="G116" s="81">
        <f t="shared" si="3"/>
        <v>-2.5498377375985148E-2</v>
      </c>
      <c r="L116" s="40">
        <v>43577</v>
      </c>
      <c r="M116" s="43">
        <v>1.0120000000000001E-3</v>
      </c>
      <c r="N116" s="1">
        <v>-2.5498377375985148E-2</v>
      </c>
    </row>
    <row r="117" spans="2:14">
      <c r="B117" s="40">
        <v>43578</v>
      </c>
      <c r="C117" s="47">
        <v>2933.68</v>
      </c>
      <c r="D117" s="81">
        <f t="shared" si="2"/>
        <v>8.8412191322468914E-3</v>
      </c>
      <c r="E117" s="40">
        <v>43578</v>
      </c>
      <c r="F117" s="24">
        <v>20.780000999999999</v>
      </c>
      <c r="G117" s="81">
        <f t="shared" si="3"/>
        <v>-1.1417649857278778E-2</v>
      </c>
      <c r="L117" s="40">
        <v>43578</v>
      </c>
      <c r="M117" s="43">
        <v>8.8412000000000004E-3</v>
      </c>
      <c r="N117" s="1">
        <v>-1.1417649857278778E-2</v>
      </c>
    </row>
    <row r="118" spans="2:14">
      <c r="B118" s="40">
        <v>43579</v>
      </c>
      <c r="C118" s="47">
        <v>2927.25</v>
      </c>
      <c r="D118" s="81">
        <f t="shared" si="2"/>
        <v>-2.1917864252406494E-3</v>
      </c>
      <c r="E118" s="40">
        <v>43579</v>
      </c>
      <c r="F118" s="24">
        <v>21.33</v>
      </c>
      <c r="G118" s="81">
        <f t="shared" si="3"/>
        <v>2.6467708062189121E-2</v>
      </c>
      <c r="L118" s="40">
        <v>43579</v>
      </c>
      <c r="M118" s="43">
        <v>-2.1917999999999998E-3</v>
      </c>
      <c r="N118" s="1">
        <v>2.6467708062189121E-2</v>
      </c>
    </row>
    <row r="119" spans="2:14">
      <c r="B119" s="40">
        <v>43580</v>
      </c>
      <c r="C119" s="47">
        <v>2926.17</v>
      </c>
      <c r="D119" s="81">
        <f t="shared" si="2"/>
        <v>-3.6894696387390624E-4</v>
      </c>
      <c r="E119" s="40">
        <v>43580</v>
      </c>
      <c r="F119" s="24">
        <v>21.16</v>
      </c>
      <c r="G119" s="81">
        <f t="shared" si="3"/>
        <v>-7.9699953117673417E-3</v>
      </c>
      <c r="L119" s="40">
        <v>43580</v>
      </c>
      <c r="M119" s="43">
        <v>-3.6890000000000002E-4</v>
      </c>
      <c r="N119" s="1">
        <v>-7.9699953117673417E-3</v>
      </c>
    </row>
    <row r="120" spans="2:14">
      <c r="B120" s="40">
        <v>43581</v>
      </c>
      <c r="C120" s="47">
        <v>2939.88</v>
      </c>
      <c r="D120" s="81">
        <f t="shared" si="2"/>
        <v>4.6853053650335319E-3</v>
      </c>
      <c r="E120" s="40">
        <v>43581</v>
      </c>
      <c r="F120" s="24">
        <v>21.02</v>
      </c>
      <c r="G120" s="81">
        <f t="shared" si="3"/>
        <v>-6.6162570888469441E-3</v>
      </c>
      <c r="L120" s="40">
        <v>43581</v>
      </c>
      <c r="M120" s="43">
        <v>4.6852999999999999E-3</v>
      </c>
      <c r="N120" s="1">
        <v>-6.6162570888469441E-3</v>
      </c>
    </row>
    <row r="121" spans="2:14">
      <c r="B121" s="40">
        <v>43584</v>
      </c>
      <c r="C121" s="47">
        <v>2943.03</v>
      </c>
      <c r="D121" s="81">
        <f t="shared" si="2"/>
        <v>1.0714723049920494E-3</v>
      </c>
      <c r="E121" s="40">
        <v>43584</v>
      </c>
      <c r="F121" s="24">
        <v>21.57</v>
      </c>
      <c r="G121" s="81">
        <f t="shared" si="3"/>
        <v>2.6165556612749885E-2</v>
      </c>
      <c r="L121" s="40">
        <v>43584</v>
      </c>
      <c r="M121" s="43">
        <v>1.0715E-3</v>
      </c>
      <c r="N121" s="1">
        <v>2.6165556612749885E-2</v>
      </c>
    </row>
    <row r="122" spans="2:14">
      <c r="B122" s="40">
        <v>43585</v>
      </c>
      <c r="C122" s="47">
        <v>2945.83</v>
      </c>
      <c r="D122" s="81">
        <f t="shared" si="2"/>
        <v>9.5140042745045506E-4</v>
      </c>
      <c r="E122" s="40">
        <v>43585</v>
      </c>
      <c r="F122" s="24">
        <v>21.42</v>
      </c>
      <c r="G122" s="81">
        <f t="shared" si="3"/>
        <v>-6.9541029207231819E-3</v>
      </c>
      <c r="L122" s="40">
        <v>43585</v>
      </c>
      <c r="M122" s="43">
        <v>9.5140000000000003E-4</v>
      </c>
      <c r="N122" s="1">
        <v>-6.9541029207231819E-3</v>
      </c>
    </row>
    <row r="123" spans="2:14">
      <c r="B123" s="40">
        <v>43586</v>
      </c>
      <c r="C123" s="47">
        <v>2923.73</v>
      </c>
      <c r="D123" s="81">
        <f t="shared" si="2"/>
        <v>-7.502130129708795E-3</v>
      </c>
      <c r="E123" s="40">
        <v>43586</v>
      </c>
      <c r="F123" s="24">
        <v>21.290001</v>
      </c>
      <c r="G123" s="81">
        <f t="shared" si="3"/>
        <v>-6.0690476190476961E-3</v>
      </c>
      <c r="L123" s="40">
        <v>43586</v>
      </c>
      <c r="M123" s="43">
        <v>-7.5021000000000003E-3</v>
      </c>
      <c r="N123" s="1">
        <v>-6.0690476190476961E-3</v>
      </c>
    </row>
    <row r="124" spans="2:14">
      <c r="B124" s="40">
        <v>43587</v>
      </c>
      <c r="C124" s="47">
        <v>2917.52</v>
      </c>
      <c r="D124" s="81">
        <f t="shared" si="2"/>
        <v>-2.1239991380873624E-3</v>
      </c>
      <c r="E124" s="40">
        <v>43587</v>
      </c>
      <c r="F124" s="24">
        <v>22.440000999999999</v>
      </c>
      <c r="G124" s="81">
        <f t="shared" si="3"/>
        <v>5.401596740178638E-2</v>
      </c>
      <c r="L124" s="40">
        <v>43587</v>
      </c>
      <c r="M124" s="43">
        <v>-2.124E-3</v>
      </c>
      <c r="N124" s="1">
        <v>5.401596740178638E-2</v>
      </c>
    </row>
    <row r="125" spans="2:14">
      <c r="B125" s="40">
        <v>43588</v>
      </c>
      <c r="C125" s="47">
        <v>2945.64</v>
      </c>
      <c r="D125" s="81">
        <f t="shared" si="2"/>
        <v>9.6383229592256203E-3</v>
      </c>
      <c r="E125" s="40">
        <v>43588</v>
      </c>
      <c r="F125" s="24">
        <v>22.129999000000002</v>
      </c>
      <c r="G125" s="81">
        <f t="shared" si="3"/>
        <v>-1.3814705266724236E-2</v>
      </c>
      <c r="L125" s="40">
        <v>43588</v>
      </c>
      <c r="M125" s="43">
        <v>9.6383000000000007E-3</v>
      </c>
      <c r="N125" s="1">
        <v>-1.3814705266724236E-2</v>
      </c>
    </row>
    <row r="126" spans="2:14">
      <c r="B126" s="40">
        <v>43591</v>
      </c>
      <c r="C126" s="47">
        <v>2932.47</v>
      </c>
      <c r="D126" s="81">
        <f t="shared" si="2"/>
        <v>-4.471014787957861E-3</v>
      </c>
      <c r="E126" s="40">
        <v>43591</v>
      </c>
      <c r="F126" s="24">
        <v>22.51</v>
      </c>
      <c r="G126" s="81">
        <f t="shared" si="3"/>
        <v>1.7171306695495048E-2</v>
      </c>
      <c r="L126" s="40">
        <v>43591</v>
      </c>
      <c r="M126" s="43">
        <v>-4.4710000000000001E-3</v>
      </c>
      <c r="N126" s="1">
        <v>1.7171306695495048E-2</v>
      </c>
    </row>
    <row r="127" spans="2:14">
      <c r="B127" s="40">
        <v>43592</v>
      </c>
      <c r="C127" s="47">
        <v>2884.05</v>
      </c>
      <c r="D127" s="81">
        <f t="shared" si="2"/>
        <v>-1.6511677868827124E-2</v>
      </c>
      <c r="E127" s="40">
        <v>43592</v>
      </c>
      <c r="F127" s="24">
        <v>22.280000999999999</v>
      </c>
      <c r="G127" s="81">
        <f t="shared" si="3"/>
        <v>-1.0217636605953095E-2</v>
      </c>
      <c r="L127" s="40">
        <v>43592</v>
      </c>
      <c r="M127" s="43">
        <v>-1.6511700000000001E-2</v>
      </c>
      <c r="N127" s="1">
        <v>-1.0217636605953095E-2</v>
      </c>
    </row>
    <row r="128" spans="2:14">
      <c r="B128" s="40">
        <v>43593</v>
      </c>
      <c r="C128" s="47">
        <v>2879.42</v>
      </c>
      <c r="D128" s="81">
        <f t="shared" si="2"/>
        <v>-1.6053813214057522E-3</v>
      </c>
      <c r="E128" s="40">
        <v>43593</v>
      </c>
      <c r="F128" s="24">
        <v>22.17</v>
      </c>
      <c r="G128" s="81">
        <f t="shared" si="3"/>
        <v>-4.9372080369294302E-3</v>
      </c>
      <c r="L128" s="40">
        <v>43593</v>
      </c>
      <c r="M128" s="43">
        <v>-1.6054000000000001E-3</v>
      </c>
      <c r="N128" s="1">
        <v>-4.9372080369294302E-3</v>
      </c>
    </row>
    <row r="129" spans="2:14">
      <c r="B129" s="40">
        <v>43594</v>
      </c>
      <c r="C129" s="47">
        <v>2870.72</v>
      </c>
      <c r="D129" s="81">
        <f t="shared" si="2"/>
        <v>-3.0214418181440106E-3</v>
      </c>
      <c r="E129" s="40">
        <v>43594</v>
      </c>
      <c r="F129" s="24">
        <v>22.48</v>
      </c>
      <c r="G129" s="81">
        <f t="shared" si="3"/>
        <v>1.3982859720342855E-2</v>
      </c>
      <c r="L129" s="40">
        <v>43594</v>
      </c>
      <c r="M129" s="43">
        <v>-3.0214E-3</v>
      </c>
      <c r="N129" s="1">
        <v>1.3982859720342855E-2</v>
      </c>
    </row>
    <row r="130" spans="2:14">
      <c r="B130" s="40">
        <v>43595</v>
      </c>
      <c r="C130" s="47">
        <v>2881.4</v>
      </c>
      <c r="D130" s="81">
        <f t="shared" si="2"/>
        <v>3.7203210344445292E-3</v>
      </c>
      <c r="E130" s="40">
        <v>43595</v>
      </c>
      <c r="F130" s="24">
        <v>22.469999000000001</v>
      </c>
      <c r="G130" s="81">
        <f t="shared" si="3"/>
        <v>-4.448843416369197E-4</v>
      </c>
      <c r="L130" s="40">
        <v>43595</v>
      </c>
      <c r="M130" s="43">
        <v>3.7203000000000002E-3</v>
      </c>
      <c r="N130" s="1">
        <v>-4.448843416369197E-4</v>
      </c>
    </row>
    <row r="131" spans="2:14">
      <c r="B131" s="40">
        <v>43598</v>
      </c>
      <c r="C131" s="47">
        <v>2811.87</v>
      </c>
      <c r="D131" s="81">
        <f t="shared" si="2"/>
        <v>-2.4130630943291487E-2</v>
      </c>
      <c r="E131" s="40">
        <v>43598</v>
      </c>
      <c r="F131" s="24">
        <v>21.700001</v>
      </c>
      <c r="G131" s="81">
        <f t="shared" si="3"/>
        <v>-3.4267825290067888E-2</v>
      </c>
      <c r="L131" s="40">
        <v>43598</v>
      </c>
      <c r="M131" s="43">
        <v>-2.4130599999999999E-2</v>
      </c>
      <c r="N131" s="1">
        <v>-3.4267825290067888E-2</v>
      </c>
    </row>
    <row r="132" spans="2:14">
      <c r="B132" s="40">
        <v>43599</v>
      </c>
      <c r="C132" s="47">
        <v>2834.41</v>
      </c>
      <c r="D132" s="81">
        <f t="shared" si="2"/>
        <v>8.016017810211773E-3</v>
      </c>
      <c r="E132" s="40">
        <v>43599</v>
      </c>
      <c r="F132" s="24">
        <v>21.49</v>
      </c>
      <c r="G132" s="81">
        <f t="shared" si="3"/>
        <v>-9.6774649918219824E-3</v>
      </c>
      <c r="L132" s="40">
        <v>43599</v>
      </c>
      <c r="M132" s="43">
        <v>8.0160000000000006E-3</v>
      </c>
      <c r="N132" s="1">
        <v>-9.6774649918219824E-3</v>
      </c>
    </row>
    <row r="133" spans="2:14">
      <c r="B133" s="40">
        <v>43600</v>
      </c>
      <c r="C133" s="47">
        <v>2850.96</v>
      </c>
      <c r="D133" s="81">
        <f t="shared" si="2"/>
        <v>5.8389576666748599E-3</v>
      </c>
      <c r="E133" s="40">
        <v>43600</v>
      </c>
      <c r="F133" s="24">
        <v>21.41</v>
      </c>
      <c r="G133" s="81">
        <f t="shared" si="3"/>
        <v>-3.7226617031176357E-3</v>
      </c>
      <c r="L133" s="40">
        <v>43600</v>
      </c>
      <c r="M133" s="43">
        <v>5.8389999999999996E-3</v>
      </c>
      <c r="N133" s="1">
        <v>-3.7226617031176357E-3</v>
      </c>
    </row>
    <row r="134" spans="2:14">
      <c r="B134" s="40">
        <v>43601</v>
      </c>
      <c r="C134" s="47">
        <v>2876.32</v>
      </c>
      <c r="D134" s="81">
        <f t="shared" ref="D134:D197" si="4">C134/C133-1</f>
        <v>8.895249319527565E-3</v>
      </c>
      <c r="E134" s="40">
        <v>43601</v>
      </c>
      <c r="F134" s="24">
        <v>21.1</v>
      </c>
      <c r="G134" s="81">
        <f t="shared" ref="G134:G197" si="5">F134/F133-1</f>
        <v>-1.4479215319943894E-2</v>
      </c>
      <c r="L134" s="40">
        <v>43601</v>
      </c>
      <c r="M134" s="43">
        <v>8.8952000000000007E-3</v>
      </c>
      <c r="N134" s="1">
        <v>-1.4479215319943894E-2</v>
      </c>
    </row>
    <row r="135" spans="2:14">
      <c r="B135" s="40">
        <v>43602</v>
      </c>
      <c r="C135" s="47">
        <v>2859.53</v>
      </c>
      <c r="D135" s="81">
        <f t="shared" si="4"/>
        <v>-5.8373199087723426E-3</v>
      </c>
      <c r="E135" s="40">
        <v>43602</v>
      </c>
      <c r="F135" s="24">
        <v>20.98</v>
      </c>
      <c r="G135" s="81">
        <f t="shared" si="5"/>
        <v>-5.687203791469253E-3</v>
      </c>
      <c r="L135" s="40">
        <v>43602</v>
      </c>
      <c r="M135" s="43">
        <v>-5.8373000000000001E-3</v>
      </c>
      <c r="N135" s="1">
        <v>-5.687203791469253E-3</v>
      </c>
    </row>
    <row r="136" spans="2:14">
      <c r="B136" s="40">
        <v>43605</v>
      </c>
      <c r="C136" s="47">
        <v>2840.23</v>
      </c>
      <c r="D136" s="81">
        <f t="shared" si="4"/>
        <v>-6.749360908960611E-3</v>
      </c>
      <c r="E136" s="40">
        <v>43605</v>
      </c>
      <c r="F136" s="24">
        <v>20.74</v>
      </c>
      <c r="G136" s="81">
        <f t="shared" si="5"/>
        <v>-1.1439466158246092E-2</v>
      </c>
      <c r="L136" s="40">
        <v>43605</v>
      </c>
      <c r="M136" s="43">
        <v>-6.7494E-3</v>
      </c>
      <c r="N136" s="1">
        <v>-1.1439466158246092E-2</v>
      </c>
    </row>
    <row r="137" spans="2:14">
      <c r="B137" s="40">
        <v>43606</v>
      </c>
      <c r="C137" s="47">
        <v>2864.36</v>
      </c>
      <c r="D137" s="81">
        <f t="shared" si="4"/>
        <v>8.4957908338409993E-3</v>
      </c>
      <c r="E137" s="40">
        <v>43606</v>
      </c>
      <c r="F137" s="24">
        <v>20.860001</v>
      </c>
      <c r="G137" s="81">
        <f t="shared" si="5"/>
        <v>5.7859691417552206E-3</v>
      </c>
      <c r="L137" s="40">
        <v>43606</v>
      </c>
      <c r="M137" s="43">
        <v>8.4957999999999995E-3</v>
      </c>
      <c r="N137" s="1">
        <v>5.7859691417552206E-3</v>
      </c>
    </row>
    <row r="138" spans="2:14">
      <c r="B138" s="40">
        <v>43607</v>
      </c>
      <c r="C138" s="47">
        <v>2856.27</v>
      </c>
      <c r="D138" s="81">
        <f t="shared" si="4"/>
        <v>-2.8243656523622152E-3</v>
      </c>
      <c r="E138" s="40">
        <v>43607</v>
      </c>
      <c r="F138" s="24">
        <v>20.540001</v>
      </c>
      <c r="G138" s="81">
        <f t="shared" si="5"/>
        <v>-1.5340363598256745E-2</v>
      </c>
      <c r="L138" s="40">
        <v>43607</v>
      </c>
      <c r="M138" s="43">
        <v>-2.8243999999999999E-3</v>
      </c>
      <c r="N138" s="1">
        <v>-1.5340363598256745E-2</v>
      </c>
    </row>
    <row r="139" spans="2:14">
      <c r="B139" s="40">
        <v>43608</v>
      </c>
      <c r="C139" s="47">
        <v>2822.24</v>
      </c>
      <c r="D139" s="81">
        <f t="shared" si="4"/>
        <v>-1.1914139769699683E-2</v>
      </c>
      <c r="E139" s="40">
        <v>43608</v>
      </c>
      <c r="F139" s="24">
        <v>20.450001</v>
      </c>
      <c r="G139" s="81">
        <f t="shared" si="5"/>
        <v>-4.3816940417870098E-3</v>
      </c>
      <c r="L139" s="40">
        <v>43608</v>
      </c>
      <c r="M139" s="43">
        <v>-1.19141E-2</v>
      </c>
      <c r="N139" s="1">
        <v>-4.3816940417870098E-3</v>
      </c>
    </row>
    <row r="140" spans="2:14">
      <c r="B140" s="40">
        <v>43609</v>
      </c>
      <c r="C140" s="47">
        <v>2826.06</v>
      </c>
      <c r="D140" s="81">
        <f t="shared" si="4"/>
        <v>1.353534780883292E-3</v>
      </c>
      <c r="E140" s="40">
        <v>43609</v>
      </c>
      <c r="F140" s="24">
        <v>20.549999</v>
      </c>
      <c r="G140" s="81">
        <f t="shared" si="5"/>
        <v>4.8898775114973869E-3</v>
      </c>
      <c r="L140" s="40">
        <v>43609</v>
      </c>
      <c r="M140" s="43">
        <v>1.3535000000000001E-3</v>
      </c>
      <c r="N140" s="1">
        <v>4.8898775114973869E-3</v>
      </c>
    </row>
    <row r="141" spans="2:14">
      <c r="B141" s="40">
        <v>43613</v>
      </c>
      <c r="C141" s="47">
        <v>2802.39</v>
      </c>
      <c r="D141" s="81">
        <f t="shared" si="4"/>
        <v>-8.3756183520520278E-3</v>
      </c>
      <c r="E141" s="40">
        <v>43613</v>
      </c>
      <c r="F141" s="24">
        <v>20.559999000000001</v>
      </c>
      <c r="G141" s="81">
        <f t="shared" si="5"/>
        <v>4.866180285458821E-4</v>
      </c>
      <c r="L141" s="40">
        <v>43613</v>
      </c>
      <c r="M141" s="43">
        <v>-8.3756000000000004E-3</v>
      </c>
      <c r="N141" s="1">
        <v>4.866180285458821E-4</v>
      </c>
    </row>
    <row r="142" spans="2:14">
      <c r="B142" s="40">
        <v>43614</v>
      </c>
      <c r="C142" s="47">
        <v>2783.02</v>
      </c>
      <c r="D142" s="81">
        <f t="shared" si="4"/>
        <v>-6.9119572935958384E-3</v>
      </c>
      <c r="E142" s="40">
        <v>43614</v>
      </c>
      <c r="F142" s="24">
        <v>20.290001</v>
      </c>
      <c r="G142" s="81">
        <f t="shared" si="5"/>
        <v>-1.3132199082305451E-2</v>
      </c>
      <c r="L142" s="40">
        <v>43614</v>
      </c>
      <c r="M142" s="43">
        <v>-6.9119999999999997E-3</v>
      </c>
      <c r="N142" s="1">
        <v>-1.3132199082305451E-2</v>
      </c>
    </row>
    <row r="143" spans="2:14">
      <c r="B143" s="40">
        <v>43615</v>
      </c>
      <c r="C143" s="47">
        <v>2788.86</v>
      </c>
      <c r="D143" s="81">
        <f t="shared" si="4"/>
        <v>2.0984398243635294E-3</v>
      </c>
      <c r="E143" s="40">
        <v>43615</v>
      </c>
      <c r="F143" s="24">
        <v>20.040001</v>
      </c>
      <c r="G143" s="81">
        <f t="shared" si="5"/>
        <v>-1.2321339954591393E-2</v>
      </c>
      <c r="L143" s="40">
        <v>43615</v>
      </c>
      <c r="M143" s="43">
        <v>2.0983999999999998E-3</v>
      </c>
      <c r="N143" s="1">
        <v>-1.2321339954591393E-2</v>
      </c>
    </row>
    <row r="144" spans="2:14">
      <c r="B144" s="40">
        <v>43616</v>
      </c>
      <c r="C144" s="47">
        <v>2752.06</v>
      </c>
      <c r="D144" s="81">
        <f t="shared" si="4"/>
        <v>-1.3195355808466647E-2</v>
      </c>
      <c r="E144" s="40">
        <v>43616</v>
      </c>
      <c r="F144" s="24">
        <v>20.049999</v>
      </c>
      <c r="G144" s="81">
        <f t="shared" si="5"/>
        <v>4.9890217071335563E-4</v>
      </c>
      <c r="L144" s="40">
        <v>43616</v>
      </c>
      <c r="M144" s="43">
        <v>-1.3195399999999999E-2</v>
      </c>
      <c r="N144" s="1">
        <v>4.9890217071335563E-4</v>
      </c>
    </row>
    <row r="145" spans="2:14">
      <c r="B145" s="40">
        <v>43619</v>
      </c>
      <c r="C145" s="47">
        <v>2744.45</v>
      </c>
      <c r="D145" s="81">
        <f t="shared" si="4"/>
        <v>-2.7652013400870645E-3</v>
      </c>
      <c r="E145" s="40">
        <v>43619</v>
      </c>
      <c r="F145" s="24">
        <v>20.129999000000002</v>
      </c>
      <c r="G145" s="81">
        <f t="shared" si="5"/>
        <v>3.9900251366598027E-3</v>
      </c>
      <c r="L145" s="40">
        <v>43619</v>
      </c>
      <c r="M145" s="43">
        <v>-2.7652000000000002E-3</v>
      </c>
      <c r="N145" s="1">
        <v>3.9900251366598027E-3</v>
      </c>
    </row>
    <row r="146" spans="2:14">
      <c r="B146" s="40">
        <v>43620</v>
      </c>
      <c r="C146" s="47">
        <v>2803.27</v>
      </c>
      <c r="D146" s="81">
        <f t="shared" si="4"/>
        <v>2.1432345278653342E-2</v>
      </c>
      <c r="E146" s="40">
        <v>43620</v>
      </c>
      <c r="F146" s="24">
        <v>20.18</v>
      </c>
      <c r="G146" s="81">
        <f t="shared" si="5"/>
        <v>2.4839047433633521E-3</v>
      </c>
      <c r="L146" s="40">
        <v>43620</v>
      </c>
      <c r="M146" s="43">
        <v>2.1432300000000001E-2</v>
      </c>
      <c r="N146" s="1">
        <v>2.4839047433633521E-3</v>
      </c>
    </row>
    <row r="147" spans="2:14">
      <c r="B147" s="40">
        <v>43621</v>
      </c>
      <c r="C147" s="47">
        <v>2826.15</v>
      </c>
      <c r="D147" s="81">
        <f t="shared" si="4"/>
        <v>8.1618966421357353E-3</v>
      </c>
      <c r="E147" s="40">
        <v>43621</v>
      </c>
      <c r="F147" s="24">
        <v>20.219999000000001</v>
      </c>
      <c r="G147" s="81">
        <f t="shared" si="5"/>
        <v>1.9821110009912157E-3</v>
      </c>
      <c r="L147" s="40">
        <v>43621</v>
      </c>
      <c r="M147" s="43">
        <v>8.1618999999999997E-3</v>
      </c>
      <c r="N147" s="1">
        <v>1.9821110009912157E-3</v>
      </c>
    </row>
    <row r="148" spans="2:14">
      <c r="B148" s="40">
        <v>43622</v>
      </c>
      <c r="C148" s="47">
        <v>2843.49</v>
      </c>
      <c r="D148" s="81">
        <f t="shared" si="4"/>
        <v>6.1355554376094634E-3</v>
      </c>
      <c r="E148" s="40">
        <v>43622</v>
      </c>
      <c r="F148" s="24">
        <v>20.25</v>
      </c>
      <c r="G148" s="81">
        <f t="shared" si="5"/>
        <v>1.4837290545859361E-3</v>
      </c>
      <c r="L148" s="40">
        <v>43622</v>
      </c>
      <c r="M148" s="43">
        <v>6.1355999999999997E-3</v>
      </c>
      <c r="N148" s="1">
        <v>1.4837290545859361E-3</v>
      </c>
    </row>
    <row r="149" spans="2:14">
      <c r="B149" s="40">
        <v>43623</v>
      </c>
      <c r="C149" s="47">
        <v>2873.34</v>
      </c>
      <c r="D149" s="81">
        <f t="shared" si="4"/>
        <v>1.0497663083042452E-2</v>
      </c>
      <c r="E149" s="40">
        <v>43623</v>
      </c>
      <c r="F149" s="24">
        <v>20.440000999999999</v>
      </c>
      <c r="G149" s="81">
        <f t="shared" si="5"/>
        <v>9.3827654320985943E-3</v>
      </c>
      <c r="L149" s="40">
        <v>43623</v>
      </c>
      <c r="M149" s="43">
        <v>1.04977E-2</v>
      </c>
      <c r="N149" s="1">
        <v>9.3827654320985943E-3</v>
      </c>
    </row>
    <row r="150" spans="2:14">
      <c r="B150" s="40">
        <v>43626</v>
      </c>
      <c r="C150" s="47">
        <v>2886.73</v>
      </c>
      <c r="D150" s="81">
        <f t="shared" si="4"/>
        <v>4.6600819951694294E-3</v>
      </c>
      <c r="E150" s="40">
        <v>43626</v>
      </c>
      <c r="F150" s="24">
        <v>20.790001</v>
      </c>
      <c r="G150" s="81">
        <f t="shared" si="5"/>
        <v>1.712328683349873E-2</v>
      </c>
      <c r="L150" s="40">
        <v>43626</v>
      </c>
      <c r="M150" s="43">
        <v>4.6601000000000004E-3</v>
      </c>
      <c r="N150" s="1">
        <v>1.712328683349873E-2</v>
      </c>
    </row>
    <row r="151" spans="2:14">
      <c r="B151" s="40">
        <v>43627</v>
      </c>
      <c r="C151" s="47">
        <v>2885.72</v>
      </c>
      <c r="D151" s="81">
        <f t="shared" si="4"/>
        <v>-3.4987685027698667E-4</v>
      </c>
      <c r="E151" s="40">
        <v>43627</v>
      </c>
      <c r="F151" s="24">
        <v>20.809999000000001</v>
      </c>
      <c r="G151" s="81">
        <f t="shared" si="5"/>
        <v>9.6190471563706303E-4</v>
      </c>
      <c r="L151" s="40">
        <v>43627</v>
      </c>
      <c r="M151" s="43">
        <v>-3.4989999999999999E-4</v>
      </c>
      <c r="N151" s="1">
        <v>9.6190471563706303E-4</v>
      </c>
    </row>
    <row r="152" spans="2:14">
      <c r="B152" s="40">
        <v>43628</v>
      </c>
      <c r="C152" s="47">
        <v>2879.84</v>
      </c>
      <c r="D152" s="81">
        <f t="shared" si="4"/>
        <v>-2.0376197274856178E-3</v>
      </c>
      <c r="E152" s="40">
        <v>43628</v>
      </c>
      <c r="F152" s="24">
        <v>20.74</v>
      </c>
      <c r="G152" s="81">
        <f t="shared" si="5"/>
        <v>-3.3637195273292786E-3</v>
      </c>
      <c r="L152" s="40">
        <v>43628</v>
      </c>
      <c r="M152" s="43">
        <v>-2.0376000000000001E-3</v>
      </c>
      <c r="N152" s="1">
        <v>-3.3637195273292786E-3</v>
      </c>
    </row>
    <row r="153" spans="2:14">
      <c r="B153" s="40">
        <v>43629</v>
      </c>
      <c r="C153" s="47">
        <v>2891.64</v>
      </c>
      <c r="D153" s="81">
        <f t="shared" si="4"/>
        <v>4.097449858325275E-3</v>
      </c>
      <c r="E153" s="40">
        <v>43629</v>
      </c>
      <c r="F153" s="24">
        <v>20.809999000000001</v>
      </c>
      <c r="G153" s="81">
        <f t="shared" si="5"/>
        <v>3.3750723240117964E-3</v>
      </c>
      <c r="L153" s="40">
        <v>43629</v>
      </c>
      <c r="M153" s="43">
        <v>4.0974000000000002E-3</v>
      </c>
      <c r="N153" s="1">
        <v>3.3750723240117964E-3</v>
      </c>
    </row>
    <row r="154" spans="2:14">
      <c r="B154" s="40">
        <v>43630</v>
      </c>
      <c r="C154" s="47">
        <v>2886.98</v>
      </c>
      <c r="D154" s="81">
        <f t="shared" si="4"/>
        <v>-1.6115422390061696E-3</v>
      </c>
      <c r="E154" s="40">
        <v>43630</v>
      </c>
      <c r="F154" s="24">
        <v>20.99</v>
      </c>
      <c r="G154" s="81">
        <f t="shared" si="5"/>
        <v>8.6497361196411493E-3</v>
      </c>
      <c r="L154" s="40">
        <v>43630</v>
      </c>
      <c r="M154" s="43">
        <v>-1.6115000000000001E-3</v>
      </c>
      <c r="N154" s="1">
        <v>8.6497361196411493E-3</v>
      </c>
    </row>
    <row r="155" spans="2:14">
      <c r="B155" s="40">
        <v>43633</v>
      </c>
      <c r="C155" s="47">
        <v>2889.67</v>
      </c>
      <c r="D155" s="81">
        <f t="shared" si="4"/>
        <v>9.3176953078999425E-4</v>
      </c>
      <c r="E155" s="40">
        <v>43633</v>
      </c>
      <c r="F155" s="24">
        <v>20.34</v>
      </c>
      <c r="G155" s="81">
        <f t="shared" si="5"/>
        <v>-3.0967127203430089E-2</v>
      </c>
      <c r="L155" s="40">
        <v>43633</v>
      </c>
      <c r="M155" s="43">
        <v>9.3179999999999999E-4</v>
      </c>
      <c r="N155" s="1">
        <v>-3.0967127203430089E-2</v>
      </c>
    </row>
    <row r="156" spans="2:14">
      <c r="B156" s="40">
        <v>43634</v>
      </c>
      <c r="C156" s="47">
        <v>2917.75</v>
      </c>
      <c r="D156" s="81">
        <f t="shared" si="4"/>
        <v>9.7173725719545967E-3</v>
      </c>
      <c r="E156" s="40">
        <v>43634</v>
      </c>
      <c r="F156" s="24">
        <v>20.120000999999998</v>
      </c>
      <c r="G156" s="81">
        <f t="shared" si="5"/>
        <v>-1.0816076696165244E-2</v>
      </c>
      <c r="L156" s="40">
        <v>43634</v>
      </c>
      <c r="M156" s="43">
        <v>9.7173999999999993E-3</v>
      </c>
      <c r="N156" s="1">
        <v>-1.0816076696165244E-2</v>
      </c>
    </row>
    <row r="157" spans="2:14">
      <c r="B157" s="40">
        <v>43635</v>
      </c>
      <c r="C157" s="47">
        <v>2926.46</v>
      </c>
      <c r="D157" s="81">
        <f t="shared" si="4"/>
        <v>2.9851769342814638E-3</v>
      </c>
      <c r="E157" s="40">
        <v>43635</v>
      </c>
      <c r="F157" s="24">
        <v>19.399999999999999</v>
      </c>
      <c r="G157" s="81">
        <f t="shared" si="5"/>
        <v>-3.5785336193571715E-2</v>
      </c>
      <c r="L157" s="40">
        <v>43635</v>
      </c>
      <c r="M157" s="43">
        <v>2.9851999999999999E-3</v>
      </c>
      <c r="N157" s="1">
        <v>-3.5785336193571715E-2</v>
      </c>
    </row>
    <row r="158" spans="2:14">
      <c r="B158" s="40">
        <v>43636</v>
      </c>
      <c r="C158" s="47">
        <v>2954.18</v>
      </c>
      <c r="D158" s="81">
        <f t="shared" si="4"/>
        <v>9.4721950752785222E-3</v>
      </c>
      <c r="E158" s="40">
        <v>43636</v>
      </c>
      <c r="F158" s="24">
        <v>19.530000999999999</v>
      </c>
      <c r="G158" s="81">
        <f t="shared" si="5"/>
        <v>6.7010824742268493E-3</v>
      </c>
      <c r="L158" s="40">
        <v>43636</v>
      </c>
      <c r="M158" s="43">
        <v>9.4722000000000001E-3</v>
      </c>
      <c r="N158" s="1">
        <v>6.7010824742268493E-3</v>
      </c>
    </row>
    <row r="159" spans="2:14">
      <c r="B159" s="40">
        <v>43637</v>
      </c>
      <c r="C159" s="47">
        <v>2950.46</v>
      </c>
      <c r="D159" s="81">
        <f t="shared" si="4"/>
        <v>-1.2592326804730103E-3</v>
      </c>
      <c r="E159" s="40">
        <v>43637</v>
      </c>
      <c r="F159" s="24">
        <v>18.879999000000002</v>
      </c>
      <c r="G159" s="81">
        <f t="shared" si="5"/>
        <v>-3.3282230758718168E-2</v>
      </c>
      <c r="L159" s="40">
        <v>43637</v>
      </c>
      <c r="M159" s="43">
        <v>-1.2592E-3</v>
      </c>
      <c r="N159" s="1">
        <v>-3.3282230758718168E-2</v>
      </c>
    </row>
    <row r="160" spans="2:14">
      <c r="B160" s="40">
        <v>43640</v>
      </c>
      <c r="C160" s="47">
        <v>2945.35</v>
      </c>
      <c r="D160" s="81">
        <f t="shared" si="4"/>
        <v>-1.731933325650914E-3</v>
      </c>
      <c r="E160" s="40">
        <v>43640</v>
      </c>
      <c r="F160" s="24">
        <v>18.639999</v>
      </c>
      <c r="G160" s="81">
        <f t="shared" si="5"/>
        <v>-1.2711865080077711E-2</v>
      </c>
      <c r="L160" s="40">
        <v>43640</v>
      </c>
      <c r="M160" s="43">
        <v>-1.7319E-3</v>
      </c>
      <c r="N160" s="1">
        <v>-1.2711865080077711E-2</v>
      </c>
    </row>
    <row r="161" spans="2:14">
      <c r="B161" s="40">
        <v>43641</v>
      </c>
      <c r="C161" s="47">
        <v>2917.38</v>
      </c>
      <c r="D161" s="81">
        <f t="shared" si="4"/>
        <v>-9.4963247152289876E-3</v>
      </c>
      <c r="E161" s="40">
        <v>43641</v>
      </c>
      <c r="F161" s="24">
        <v>18.469999000000001</v>
      </c>
      <c r="G161" s="81">
        <f t="shared" si="5"/>
        <v>-9.1201721630992383E-3</v>
      </c>
      <c r="L161" s="40">
        <v>43641</v>
      </c>
      <c r="M161" s="43">
        <v>-9.4962999999999992E-3</v>
      </c>
      <c r="N161" s="1">
        <v>-9.1201721630992383E-3</v>
      </c>
    </row>
    <row r="162" spans="2:14">
      <c r="B162" s="40">
        <v>43642</v>
      </c>
      <c r="C162" s="47">
        <v>2913.78</v>
      </c>
      <c r="D162" s="81">
        <f t="shared" si="4"/>
        <v>-1.2339839170762978E-3</v>
      </c>
      <c r="E162" s="40">
        <v>43642</v>
      </c>
      <c r="F162" s="24">
        <v>18.440000999999999</v>
      </c>
      <c r="G162" s="81">
        <f t="shared" si="5"/>
        <v>-1.6241473537710327E-3</v>
      </c>
      <c r="L162" s="40">
        <v>43642</v>
      </c>
      <c r="M162" s="43">
        <v>-1.2340000000000001E-3</v>
      </c>
      <c r="N162" s="1">
        <v>-1.6241473537710327E-3</v>
      </c>
    </row>
    <row r="163" spans="2:14">
      <c r="B163" s="40">
        <v>43643</v>
      </c>
      <c r="C163" s="47">
        <v>2924.92</v>
      </c>
      <c r="D163" s="81">
        <f t="shared" si="4"/>
        <v>3.8232124594168582E-3</v>
      </c>
      <c r="E163" s="40">
        <v>43643</v>
      </c>
      <c r="F163" s="24">
        <v>18.530000999999999</v>
      </c>
      <c r="G163" s="81">
        <f t="shared" si="5"/>
        <v>4.8806938784873299E-3</v>
      </c>
      <c r="L163" s="40">
        <v>43643</v>
      </c>
      <c r="M163" s="43">
        <v>3.8232000000000001E-3</v>
      </c>
      <c r="N163" s="1">
        <v>4.8806938784873299E-3</v>
      </c>
    </row>
    <row r="164" spans="2:14">
      <c r="B164" s="40">
        <v>43644</v>
      </c>
      <c r="C164" s="47">
        <v>2941.76</v>
      </c>
      <c r="D164" s="81">
        <f t="shared" si="4"/>
        <v>5.7574224252288086E-3</v>
      </c>
      <c r="E164" s="40">
        <v>43644</v>
      </c>
      <c r="F164" s="24">
        <v>18.889999</v>
      </c>
      <c r="G164" s="81">
        <f t="shared" si="5"/>
        <v>1.9427845686570633E-2</v>
      </c>
      <c r="L164" s="40">
        <v>43644</v>
      </c>
      <c r="M164" s="43">
        <v>5.7574000000000002E-3</v>
      </c>
      <c r="N164" s="1">
        <v>1.9427845686570633E-2</v>
      </c>
    </row>
    <row r="165" spans="2:14">
      <c r="B165" s="40">
        <v>43647</v>
      </c>
      <c r="C165" s="47">
        <v>2964.33</v>
      </c>
      <c r="D165" s="81">
        <f t="shared" si="4"/>
        <v>7.6722778200803976E-3</v>
      </c>
      <c r="E165" s="40">
        <v>43647</v>
      </c>
      <c r="F165" s="24">
        <v>18.459999</v>
      </c>
      <c r="G165" s="81">
        <f t="shared" si="5"/>
        <v>-2.2763368065821465E-2</v>
      </c>
      <c r="L165" s="40">
        <v>43647</v>
      </c>
      <c r="M165" s="43">
        <v>7.6723E-3</v>
      </c>
      <c r="N165" s="1">
        <v>-2.2763368065821465E-2</v>
      </c>
    </row>
    <row r="166" spans="2:14">
      <c r="B166" s="40">
        <v>43648</v>
      </c>
      <c r="C166" s="47">
        <v>2973.01</v>
      </c>
      <c r="D166" s="81">
        <f t="shared" si="4"/>
        <v>2.9281490252435205E-3</v>
      </c>
      <c r="E166" s="40">
        <v>43648</v>
      </c>
      <c r="F166" s="24">
        <v>18.540001</v>
      </c>
      <c r="G166" s="81">
        <f t="shared" si="5"/>
        <v>4.3338030516686388E-3</v>
      </c>
      <c r="L166" s="40">
        <v>43648</v>
      </c>
      <c r="M166" s="43">
        <v>2.9280999999999999E-3</v>
      </c>
      <c r="N166" s="1">
        <v>4.3338030516686388E-3</v>
      </c>
    </row>
    <row r="167" spans="2:14">
      <c r="B167" s="40">
        <v>43649</v>
      </c>
      <c r="C167" s="47">
        <v>2995.82</v>
      </c>
      <c r="D167" s="81">
        <f t="shared" si="4"/>
        <v>7.672358989710748E-3</v>
      </c>
      <c r="E167" s="40">
        <v>43649</v>
      </c>
      <c r="F167" s="24">
        <v>18.489999999999998</v>
      </c>
      <c r="G167" s="81">
        <f t="shared" si="5"/>
        <v>-2.6969254208778493E-3</v>
      </c>
      <c r="L167" s="40">
        <v>43649</v>
      </c>
      <c r="M167" s="43">
        <v>7.6724000000000002E-3</v>
      </c>
      <c r="N167" s="1">
        <v>-2.6969254208778493E-3</v>
      </c>
    </row>
    <row r="168" spans="2:14">
      <c r="B168" s="40">
        <v>43651</v>
      </c>
      <c r="C168" s="47">
        <v>2990.41</v>
      </c>
      <c r="D168" s="81">
        <f t="shared" si="4"/>
        <v>-1.8058494836139527E-3</v>
      </c>
      <c r="E168" s="40">
        <v>43651</v>
      </c>
      <c r="F168" s="24">
        <v>18.850000000000001</v>
      </c>
      <c r="G168" s="81">
        <f t="shared" si="5"/>
        <v>1.9469983775013633E-2</v>
      </c>
      <c r="L168" s="40">
        <v>43651</v>
      </c>
      <c r="M168" s="43">
        <v>-1.8058E-3</v>
      </c>
      <c r="N168" s="1">
        <v>1.9469983775013633E-2</v>
      </c>
    </row>
    <row r="169" spans="2:14">
      <c r="B169" s="40">
        <v>43654</v>
      </c>
      <c r="C169" s="47">
        <v>2975.95</v>
      </c>
      <c r="D169" s="81">
        <f t="shared" si="4"/>
        <v>-4.8354573453138761E-3</v>
      </c>
      <c r="E169" s="40">
        <v>43654</v>
      </c>
      <c r="F169" s="24">
        <v>18.829999999999998</v>
      </c>
      <c r="G169" s="81">
        <f t="shared" si="5"/>
        <v>-1.0610079575598119E-3</v>
      </c>
      <c r="L169" s="40">
        <v>43654</v>
      </c>
      <c r="M169" s="43">
        <v>-4.8355000000000004E-3</v>
      </c>
      <c r="N169" s="1">
        <v>-1.0610079575598119E-3</v>
      </c>
    </row>
    <row r="170" spans="2:14">
      <c r="B170" s="40">
        <v>43655</v>
      </c>
      <c r="C170" s="47">
        <v>2979.63</v>
      </c>
      <c r="D170" s="81">
        <f t="shared" si="4"/>
        <v>1.2365799156572876E-3</v>
      </c>
      <c r="E170" s="40">
        <v>43655</v>
      </c>
      <c r="F170" s="24">
        <v>18.75</v>
      </c>
      <c r="G170" s="81">
        <f t="shared" si="5"/>
        <v>-4.2485395645246449E-3</v>
      </c>
      <c r="L170" s="40">
        <v>43655</v>
      </c>
      <c r="M170" s="43">
        <v>1.2366E-3</v>
      </c>
      <c r="N170" s="1">
        <v>-4.2485395645246449E-3</v>
      </c>
    </row>
    <row r="171" spans="2:14">
      <c r="B171" s="40">
        <v>43656</v>
      </c>
      <c r="C171" s="47">
        <v>2993.07</v>
      </c>
      <c r="D171" s="81">
        <f t="shared" si="4"/>
        <v>4.5106271584056667E-3</v>
      </c>
      <c r="E171" s="40">
        <v>43656</v>
      </c>
      <c r="F171" s="24">
        <v>18.790001</v>
      </c>
      <c r="G171" s="81">
        <f t="shared" si="5"/>
        <v>2.1333866666666257E-3</v>
      </c>
      <c r="L171" s="40">
        <v>43656</v>
      </c>
      <c r="M171" s="43">
        <v>4.5106E-3</v>
      </c>
      <c r="N171" s="1">
        <v>2.1333866666666257E-3</v>
      </c>
    </row>
    <row r="172" spans="2:14">
      <c r="B172" s="40">
        <v>43657</v>
      </c>
      <c r="C172" s="47">
        <v>2999.91</v>
      </c>
      <c r="D172" s="81">
        <f t="shared" si="4"/>
        <v>2.285278994477169E-3</v>
      </c>
      <c r="E172" s="40">
        <v>43657</v>
      </c>
      <c r="F172" s="24">
        <v>18.73</v>
      </c>
      <c r="G172" s="81">
        <f t="shared" si="5"/>
        <v>-3.1932409157402475E-3</v>
      </c>
      <c r="L172" s="40">
        <v>43657</v>
      </c>
      <c r="M172" s="43">
        <v>2.2853000000000001E-3</v>
      </c>
      <c r="N172" s="1">
        <v>-3.1932409157402475E-3</v>
      </c>
    </row>
    <row r="173" spans="2:14">
      <c r="B173" s="40">
        <v>43658</v>
      </c>
      <c r="C173" s="47">
        <v>3013.77</v>
      </c>
      <c r="D173" s="81">
        <f t="shared" si="4"/>
        <v>4.6201386041582193E-3</v>
      </c>
      <c r="E173" s="40">
        <v>43658</v>
      </c>
      <c r="F173" s="24">
        <v>18.760000000000002</v>
      </c>
      <c r="G173" s="81">
        <f t="shared" si="5"/>
        <v>1.6017084890549427E-3</v>
      </c>
      <c r="L173" s="40">
        <v>43658</v>
      </c>
      <c r="M173" s="43">
        <v>4.6201000000000002E-3</v>
      </c>
      <c r="N173" s="1">
        <v>1.6017084890549427E-3</v>
      </c>
    </row>
    <row r="174" spans="2:14">
      <c r="B174" s="40">
        <v>43661</v>
      </c>
      <c r="C174" s="47">
        <v>3014.3</v>
      </c>
      <c r="D174" s="81">
        <f t="shared" si="4"/>
        <v>1.7585947169163063E-4</v>
      </c>
      <c r="E174" s="40">
        <v>43661</v>
      </c>
      <c r="F174" s="24">
        <v>18.670000000000002</v>
      </c>
      <c r="G174" s="81">
        <f t="shared" si="5"/>
        <v>-4.7974413646055813E-3</v>
      </c>
      <c r="L174" s="40">
        <v>43661</v>
      </c>
      <c r="M174" s="43">
        <v>1.7589999999999999E-4</v>
      </c>
      <c r="N174" s="1">
        <v>-4.7974413646055813E-3</v>
      </c>
    </row>
    <row r="175" spans="2:14">
      <c r="B175" s="40">
        <v>43662</v>
      </c>
      <c r="C175" s="47">
        <v>3004.04</v>
      </c>
      <c r="D175" s="81">
        <f t="shared" si="4"/>
        <v>-3.4037753375577573E-3</v>
      </c>
      <c r="E175" s="40">
        <v>43662</v>
      </c>
      <c r="F175" s="24">
        <v>18.469999000000001</v>
      </c>
      <c r="G175" s="81">
        <f t="shared" si="5"/>
        <v>-1.0712426352437077E-2</v>
      </c>
      <c r="L175" s="40">
        <v>43662</v>
      </c>
      <c r="M175" s="43">
        <v>-3.4037999999999998E-3</v>
      </c>
      <c r="N175" s="1">
        <v>-1.0712426352437077E-2</v>
      </c>
    </row>
    <row r="176" spans="2:14">
      <c r="B176" s="40">
        <v>43663</v>
      </c>
      <c r="C176" s="47">
        <v>2984.42</v>
      </c>
      <c r="D176" s="81">
        <f t="shared" si="4"/>
        <v>-6.5312046444121474E-3</v>
      </c>
      <c r="E176" s="40">
        <v>43663</v>
      </c>
      <c r="F176" s="24">
        <v>18.23</v>
      </c>
      <c r="G176" s="81">
        <f t="shared" si="5"/>
        <v>-1.299399095798548E-2</v>
      </c>
      <c r="L176" s="40">
        <v>43663</v>
      </c>
      <c r="M176" s="43">
        <v>-6.5312E-3</v>
      </c>
      <c r="N176" s="1">
        <v>-1.299399095798548E-2</v>
      </c>
    </row>
    <row r="177" spans="2:14">
      <c r="B177" s="40">
        <v>43664</v>
      </c>
      <c r="C177" s="47">
        <v>2995.11</v>
      </c>
      <c r="D177" s="81">
        <f t="shared" si="4"/>
        <v>3.5819355184592006E-3</v>
      </c>
      <c r="E177" s="40">
        <v>43664</v>
      </c>
      <c r="F177" s="24">
        <v>18.25</v>
      </c>
      <c r="G177" s="81">
        <f t="shared" si="5"/>
        <v>1.0970927043334466E-3</v>
      </c>
      <c r="L177" s="40">
        <v>43664</v>
      </c>
      <c r="M177" s="43">
        <v>3.5818999999999998E-3</v>
      </c>
      <c r="N177" s="1">
        <v>1.0970927043334466E-3</v>
      </c>
    </row>
    <row r="178" spans="2:14">
      <c r="B178" s="40">
        <v>43665</v>
      </c>
      <c r="C178" s="47">
        <v>2976.61</v>
      </c>
      <c r="D178" s="81">
        <f t="shared" si="4"/>
        <v>-6.1767347442999165E-3</v>
      </c>
      <c r="E178" s="40">
        <v>43665</v>
      </c>
      <c r="F178" s="24">
        <v>18.170000000000002</v>
      </c>
      <c r="G178" s="81">
        <f t="shared" si="5"/>
        <v>-4.3835616438355762E-3</v>
      </c>
      <c r="L178" s="40">
        <v>43665</v>
      </c>
      <c r="M178" s="43">
        <v>-6.1767000000000002E-3</v>
      </c>
      <c r="N178" s="1">
        <v>-4.3835616438355762E-3</v>
      </c>
    </row>
    <row r="179" spans="2:14">
      <c r="B179" s="40">
        <v>43668</v>
      </c>
      <c r="C179" s="47">
        <v>2985.03</v>
      </c>
      <c r="D179" s="81">
        <f t="shared" si="4"/>
        <v>2.8287212634507952E-3</v>
      </c>
      <c r="E179" s="40">
        <v>43668</v>
      </c>
      <c r="F179" s="24">
        <v>17.290001</v>
      </c>
      <c r="G179" s="81">
        <f t="shared" si="5"/>
        <v>-4.8431425426527341E-2</v>
      </c>
      <c r="L179" s="40">
        <v>43668</v>
      </c>
      <c r="M179" s="43">
        <v>2.8287E-3</v>
      </c>
      <c r="N179" s="1">
        <v>-4.8431425426527341E-2</v>
      </c>
    </row>
    <row r="180" spans="2:14">
      <c r="B180" s="40">
        <v>43669</v>
      </c>
      <c r="C180" s="47">
        <v>3005.47</v>
      </c>
      <c r="D180" s="81">
        <f t="shared" si="4"/>
        <v>6.8475023701604076E-3</v>
      </c>
      <c r="E180" s="40">
        <v>43669</v>
      </c>
      <c r="F180" s="24">
        <v>17.219999000000001</v>
      </c>
      <c r="G180" s="81">
        <f t="shared" si="5"/>
        <v>-4.0486984355870836E-3</v>
      </c>
      <c r="L180" s="40">
        <v>43669</v>
      </c>
      <c r="M180" s="43">
        <v>6.8475000000000003E-3</v>
      </c>
      <c r="N180" s="1">
        <v>-4.0486984355870836E-3</v>
      </c>
    </row>
    <row r="181" spans="2:14">
      <c r="B181" s="40">
        <v>43670</v>
      </c>
      <c r="C181" s="47">
        <v>3019.56</v>
      </c>
      <c r="D181" s="81">
        <f t="shared" si="4"/>
        <v>4.68811866363672E-3</v>
      </c>
      <c r="E181" s="40">
        <v>43670</v>
      </c>
      <c r="F181" s="24">
        <v>17.469999000000001</v>
      </c>
      <c r="G181" s="81">
        <f t="shared" si="5"/>
        <v>1.4518003165969962E-2</v>
      </c>
      <c r="L181" s="40">
        <v>43670</v>
      </c>
      <c r="M181" s="43">
        <v>4.6880999999999997E-3</v>
      </c>
      <c r="N181" s="1">
        <v>1.4518003165969962E-2</v>
      </c>
    </row>
    <row r="182" spans="2:14">
      <c r="B182" s="40">
        <v>43671</v>
      </c>
      <c r="C182" s="47">
        <v>3003.67</v>
      </c>
      <c r="D182" s="81">
        <f t="shared" si="4"/>
        <v>-5.2623561048629197E-3</v>
      </c>
      <c r="E182" s="40">
        <v>43671</v>
      </c>
      <c r="F182" s="24">
        <v>17</v>
      </c>
      <c r="G182" s="81">
        <f t="shared" si="5"/>
        <v>-2.6903207035100629E-2</v>
      </c>
      <c r="L182" s="40">
        <v>43671</v>
      </c>
      <c r="M182" s="43">
        <v>-5.2624000000000004E-3</v>
      </c>
      <c r="N182" s="1">
        <v>-2.6903207035100629E-2</v>
      </c>
    </row>
    <row r="183" spans="2:14">
      <c r="B183" s="40">
        <v>43672</v>
      </c>
      <c r="C183" s="47">
        <v>3025.86</v>
      </c>
      <c r="D183" s="81">
        <f t="shared" si="4"/>
        <v>7.3876291336931743E-3</v>
      </c>
      <c r="E183" s="40">
        <v>43672</v>
      </c>
      <c r="F183" s="24">
        <v>17.489999999999998</v>
      </c>
      <c r="G183" s="81">
        <f t="shared" si="5"/>
        <v>2.8823529411764692E-2</v>
      </c>
      <c r="L183" s="40">
        <v>43672</v>
      </c>
      <c r="M183" s="43">
        <v>7.3876000000000002E-3</v>
      </c>
      <c r="N183" s="1">
        <v>2.8823529411764692E-2</v>
      </c>
    </row>
    <row r="184" spans="2:14">
      <c r="B184" s="40">
        <v>43675</v>
      </c>
      <c r="C184" s="47">
        <v>3020.97</v>
      </c>
      <c r="D184" s="81">
        <f t="shared" si="4"/>
        <v>-1.6160694810732901E-3</v>
      </c>
      <c r="E184" s="40">
        <v>43675</v>
      </c>
      <c r="F184" s="24">
        <v>17.170000000000002</v>
      </c>
      <c r="G184" s="81">
        <f t="shared" si="5"/>
        <v>-1.829616923956523E-2</v>
      </c>
      <c r="L184" s="40">
        <v>43675</v>
      </c>
      <c r="M184" s="43">
        <v>-1.6161000000000001E-3</v>
      </c>
      <c r="N184" s="1">
        <v>-1.829616923956523E-2</v>
      </c>
    </row>
    <row r="185" spans="2:14">
      <c r="B185" s="40">
        <v>43676</v>
      </c>
      <c r="C185" s="47">
        <v>3013.18</v>
      </c>
      <c r="D185" s="81">
        <f t="shared" si="4"/>
        <v>-2.5786419593706311E-3</v>
      </c>
      <c r="E185" s="40">
        <v>43676</v>
      </c>
      <c r="F185" s="24">
        <v>17.299999</v>
      </c>
      <c r="G185" s="81">
        <f t="shared" si="5"/>
        <v>7.5712871287128003E-3</v>
      </c>
      <c r="L185" s="40">
        <v>43676</v>
      </c>
      <c r="M185" s="43">
        <v>-2.5785999999999999E-3</v>
      </c>
      <c r="N185" s="1">
        <v>7.5712871287128003E-3</v>
      </c>
    </row>
    <row r="186" spans="2:14">
      <c r="B186" s="40">
        <v>43677</v>
      </c>
      <c r="C186" s="47">
        <v>2980.38</v>
      </c>
      <c r="D186" s="81">
        <f t="shared" si="4"/>
        <v>-1.0885509660889747E-2</v>
      </c>
      <c r="E186" s="40">
        <v>43677</v>
      </c>
      <c r="F186" s="24">
        <v>16.93</v>
      </c>
      <c r="G186" s="81">
        <f t="shared" si="5"/>
        <v>-2.1387226669781878E-2</v>
      </c>
      <c r="L186" s="40">
        <v>43677</v>
      </c>
      <c r="M186" s="43">
        <v>-1.0885499999999999E-2</v>
      </c>
      <c r="N186" s="1">
        <v>-2.1387226669781878E-2</v>
      </c>
    </row>
    <row r="187" spans="2:14">
      <c r="B187" s="40">
        <v>43678</v>
      </c>
      <c r="C187" s="47">
        <v>2953.56</v>
      </c>
      <c r="D187" s="81">
        <f t="shared" si="4"/>
        <v>-8.9988524953193982E-3</v>
      </c>
      <c r="E187" s="40">
        <v>43678</v>
      </c>
      <c r="F187" s="24">
        <v>18.170000000000002</v>
      </c>
      <c r="G187" s="81">
        <f t="shared" si="5"/>
        <v>7.3242764323685927E-2</v>
      </c>
      <c r="L187" s="40">
        <v>43678</v>
      </c>
      <c r="M187" s="43">
        <v>-8.9989000000000006E-3</v>
      </c>
      <c r="N187" s="1">
        <v>7.3242764323685927E-2</v>
      </c>
    </row>
    <row r="188" spans="2:14">
      <c r="B188" s="40">
        <v>43679</v>
      </c>
      <c r="C188" s="47">
        <v>2932.05</v>
      </c>
      <c r="D188" s="81">
        <f t="shared" si="4"/>
        <v>-7.2827367651240316E-3</v>
      </c>
      <c r="E188" s="40">
        <v>43679</v>
      </c>
      <c r="F188" s="24">
        <v>17.739999999999998</v>
      </c>
      <c r="G188" s="81">
        <f t="shared" si="5"/>
        <v>-2.3665382498624266E-2</v>
      </c>
      <c r="L188" s="40">
        <v>43679</v>
      </c>
      <c r="M188" s="43">
        <v>-7.2826999999999996E-3</v>
      </c>
      <c r="N188" s="1">
        <v>-2.3665382498624266E-2</v>
      </c>
    </row>
    <row r="189" spans="2:14">
      <c r="B189" s="40">
        <v>43682</v>
      </c>
      <c r="C189" s="47">
        <v>2844.74</v>
      </c>
      <c r="D189" s="81">
        <f t="shared" si="4"/>
        <v>-2.9777800514998121E-2</v>
      </c>
      <c r="E189" s="40">
        <v>43682</v>
      </c>
      <c r="F189" s="24">
        <v>17.709999</v>
      </c>
      <c r="G189" s="81">
        <f t="shared" si="5"/>
        <v>-1.6911499436301769E-3</v>
      </c>
      <c r="L189" s="40">
        <v>43682</v>
      </c>
      <c r="M189" s="43">
        <v>-2.97778E-2</v>
      </c>
      <c r="N189" s="1">
        <v>-1.6911499436301769E-3</v>
      </c>
    </row>
    <row r="190" spans="2:14">
      <c r="B190" s="40">
        <v>43683</v>
      </c>
      <c r="C190" s="47">
        <v>2881.77</v>
      </c>
      <c r="D190" s="81">
        <f t="shared" si="4"/>
        <v>1.3017006826634425E-2</v>
      </c>
      <c r="E190" s="40">
        <v>43683</v>
      </c>
      <c r="F190" s="24">
        <v>17.780000999999999</v>
      </c>
      <c r="G190" s="81">
        <f t="shared" si="5"/>
        <v>3.9526823236974984E-3</v>
      </c>
      <c r="L190" s="40">
        <v>43683</v>
      </c>
      <c r="M190" s="43">
        <v>1.3017000000000001E-2</v>
      </c>
      <c r="N190" s="1">
        <v>3.9526823236974984E-3</v>
      </c>
    </row>
    <row r="191" spans="2:14">
      <c r="B191" s="40">
        <v>43684</v>
      </c>
      <c r="C191" s="47">
        <v>2883.98</v>
      </c>
      <c r="D191" s="81">
        <f t="shared" si="4"/>
        <v>7.6688979342565133E-4</v>
      </c>
      <c r="E191" s="40">
        <v>43684</v>
      </c>
      <c r="F191" s="24">
        <v>17.809999000000001</v>
      </c>
      <c r="G191" s="81">
        <f t="shared" si="5"/>
        <v>1.6871765080330725E-3</v>
      </c>
      <c r="L191" s="40">
        <v>43684</v>
      </c>
      <c r="M191" s="43">
        <v>7.6690000000000005E-4</v>
      </c>
      <c r="N191" s="1">
        <v>1.6871765080330725E-3</v>
      </c>
    </row>
    <row r="192" spans="2:14">
      <c r="B192" s="40">
        <v>43685</v>
      </c>
      <c r="C192" s="47">
        <v>2938.09</v>
      </c>
      <c r="D192" s="81">
        <f t="shared" si="4"/>
        <v>1.8762266035132091E-2</v>
      </c>
      <c r="E192" s="40">
        <v>43685</v>
      </c>
      <c r="F192" s="24">
        <v>17.989999999999998</v>
      </c>
      <c r="G192" s="81">
        <f t="shared" si="5"/>
        <v>1.0106738355234901E-2</v>
      </c>
      <c r="L192" s="40">
        <v>43685</v>
      </c>
      <c r="M192" s="43">
        <v>1.8762299999999999E-2</v>
      </c>
      <c r="N192" s="1">
        <v>1.0106738355234901E-2</v>
      </c>
    </row>
    <row r="193" spans="2:14">
      <c r="B193" s="40">
        <v>43686</v>
      </c>
      <c r="C193" s="47">
        <v>2918.65</v>
      </c>
      <c r="D193" s="81">
        <f t="shared" si="4"/>
        <v>-6.6165434006446588E-3</v>
      </c>
      <c r="E193" s="40">
        <v>43686</v>
      </c>
      <c r="F193" s="24">
        <v>17.75</v>
      </c>
      <c r="G193" s="81">
        <f t="shared" si="5"/>
        <v>-1.3340744858254538E-2</v>
      </c>
      <c r="L193" s="40">
        <v>43686</v>
      </c>
      <c r="M193" s="43">
        <v>-6.6165E-3</v>
      </c>
      <c r="N193" s="1">
        <v>-1.3340744858254538E-2</v>
      </c>
    </row>
    <row r="194" spans="2:14">
      <c r="B194" s="40">
        <v>43689</v>
      </c>
      <c r="C194" s="47">
        <v>2883.09</v>
      </c>
      <c r="D194" s="81">
        <f t="shared" si="4"/>
        <v>-1.2183715073749823E-2</v>
      </c>
      <c r="E194" s="40">
        <v>43689</v>
      </c>
      <c r="F194" s="24">
        <v>17.540001</v>
      </c>
      <c r="G194" s="81">
        <f t="shared" si="5"/>
        <v>-1.1830929577464788E-2</v>
      </c>
      <c r="L194" s="40">
        <v>43689</v>
      </c>
      <c r="M194" s="43">
        <v>-1.21837E-2</v>
      </c>
      <c r="N194" s="1">
        <v>-1.1830929577464788E-2</v>
      </c>
    </row>
    <row r="195" spans="2:14">
      <c r="B195" s="40">
        <v>43690</v>
      </c>
      <c r="C195" s="47">
        <v>2926.32</v>
      </c>
      <c r="D195" s="81">
        <f t="shared" si="4"/>
        <v>1.499432900117581E-2</v>
      </c>
      <c r="E195" s="40">
        <v>43690</v>
      </c>
      <c r="F195" s="24">
        <v>17.709999</v>
      </c>
      <c r="G195" s="81">
        <f t="shared" si="5"/>
        <v>9.692017691447008E-3</v>
      </c>
      <c r="L195" s="40">
        <v>43690</v>
      </c>
      <c r="M195" s="43">
        <v>1.49943E-2</v>
      </c>
      <c r="N195" s="1">
        <v>9.692017691447008E-3</v>
      </c>
    </row>
    <row r="196" spans="2:14">
      <c r="B196" s="40">
        <v>43691</v>
      </c>
      <c r="C196" s="47">
        <v>2840.6</v>
      </c>
      <c r="D196" s="81">
        <f t="shared" si="4"/>
        <v>-2.9292763607534411E-2</v>
      </c>
      <c r="E196" s="40">
        <v>43691</v>
      </c>
      <c r="F196" s="24">
        <v>17.100000000000001</v>
      </c>
      <c r="G196" s="81">
        <f t="shared" si="5"/>
        <v>-3.444376253211523E-2</v>
      </c>
      <c r="L196" s="40">
        <v>43691</v>
      </c>
      <c r="M196" s="43">
        <v>-2.9292800000000001E-2</v>
      </c>
      <c r="N196" s="1">
        <v>-3.444376253211523E-2</v>
      </c>
    </row>
    <row r="197" spans="2:14">
      <c r="B197" s="40">
        <v>43692</v>
      </c>
      <c r="C197" s="47">
        <v>2847.6</v>
      </c>
      <c r="D197" s="81">
        <f t="shared" si="4"/>
        <v>2.464268112370549E-3</v>
      </c>
      <c r="E197" s="40">
        <v>43692</v>
      </c>
      <c r="F197" s="24">
        <v>17.739999999999998</v>
      </c>
      <c r="G197" s="81">
        <f t="shared" si="5"/>
        <v>3.7426900584795142E-2</v>
      </c>
      <c r="L197" s="40">
        <v>43692</v>
      </c>
      <c r="M197" s="43">
        <v>2.4643E-3</v>
      </c>
      <c r="N197" s="1">
        <v>3.7426900584795142E-2</v>
      </c>
    </row>
    <row r="198" spans="2:14">
      <c r="B198" s="40">
        <v>43693</v>
      </c>
      <c r="C198" s="47">
        <v>2888.68</v>
      </c>
      <c r="D198" s="81">
        <f t="shared" ref="D198:D261" si="6">C198/C197-1</f>
        <v>1.4426183452732166E-2</v>
      </c>
      <c r="E198" s="40">
        <v>43693</v>
      </c>
      <c r="F198" s="24">
        <v>17.899999999999999</v>
      </c>
      <c r="G198" s="81">
        <f t="shared" ref="G198:G261" si="7">F198/F197-1</f>
        <v>9.0191657271703196E-3</v>
      </c>
      <c r="L198" s="40">
        <v>43693</v>
      </c>
      <c r="M198" s="43">
        <v>1.44262E-2</v>
      </c>
      <c r="N198" s="1">
        <v>9.0191657271703196E-3</v>
      </c>
    </row>
    <row r="199" spans="2:14">
      <c r="B199" s="40">
        <v>43696</v>
      </c>
      <c r="C199" s="47">
        <v>2923.65</v>
      </c>
      <c r="D199" s="81">
        <f t="shared" si="6"/>
        <v>1.2105875347909967E-2</v>
      </c>
      <c r="E199" s="40">
        <v>43696</v>
      </c>
      <c r="F199" s="24">
        <v>18.02</v>
      </c>
      <c r="G199" s="81">
        <f t="shared" si="7"/>
        <v>6.7039106145252436E-3</v>
      </c>
      <c r="L199" s="40">
        <v>43696</v>
      </c>
      <c r="M199" s="43">
        <v>1.2105899999999999E-2</v>
      </c>
      <c r="N199" s="1">
        <v>6.7039106145252436E-3</v>
      </c>
    </row>
    <row r="200" spans="2:14">
      <c r="B200" s="40">
        <v>43697</v>
      </c>
      <c r="C200" s="47">
        <v>2900.51</v>
      </c>
      <c r="D200" s="81">
        <f t="shared" si="6"/>
        <v>-7.9147640791475959E-3</v>
      </c>
      <c r="E200" s="40">
        <v>43697</v>
      </c>
      <c r="F200" s="24">
        <v>17.75</v>
      </c>
      <c r="G200" s="81">
        <f t="shared" si="7"/>
        <v>-1.4983351831298508E-2</v>
      </c>
      <c r="L200" s="40">
        <v>43697</v>
      </c>
      <c r="M200" s="43">
        <v>-7.9147999999999996E-3</v>
      </c>
      <c r="N200" s="1">
        <v>-1.4983351831298508E-2</v>
      </c>
    </row>
    <row r="201" spans="2:14">
      <c r="B201" s="40">
        <v>43698</v>
      </c>
      <c r="C201" s="47">
        <v>2924.43</v>
      </c>
      <c r="D201" s="81">
        <f t="shared" si="6"/>
        <v>8.2468255582637262E-3</v>
      </c>
      <c r="E201" s="40">
        <v>43698</v>
      </c>
      <c r="F201" s="24">
        <v>17.82</v>
      </c>
      <c r="G201" s="81">
        <f t="shared" si="7"/>
        <v>3.9436619718309363E-3</v>
      </c>
      <c r="L201" s="40">
        <v>43698</v>
      </c>
      <c r="M201" s="43">
        <v>8.2468000000000003E-3</v>
      </c>
      <c r="N201" s="1">
        <v>3.9436619718309363E-3</v>
      </c>
    </row>
    <row r="202" spans="2:14">
      <c r="B202" s="40">
        <v>43699</v>
      </c>
      <c r="C202" s="47">
        <v>2922.95</v>
      </c>
      <c r="D202" s="81">
        <f t="shared" si="6"/>
        <v>-5.0608152699838094E-4</v>
      </c>
      <c r="E202" s="40">
        <v>43699</v>
      </c>
      <c r="F202" s="24">
        <v>17.98</v>
      </c>
      <c r="G202" s="81">
        <f t="shared" si="7"/>
        <v>8.9786756453422711E-3</v>
      </c>
      <c r="L202" s="40">
        <v>43699</v>
      </c>
      <c r="M202" s="43">
        <v>-5.061E-4</v>
      </c>
      <c r="N202" s="1">
        <v>8.9786756453422711E-3</v>
      </c>
    </row>
    <row r="203" spans="2:14">
      <c r="B203" s="40">
        <v>43700</v>
      </c>
      <c r="C203" s="47">
        <v>2847.11</v>
      </c>
      <c r="D203" s="81">
        <f t="shared" si="6"/>
        <v>-2.5946389777450785E-2</v>
      </c>
      <c r="E203" s="40">
        <v>43700</v>
      </c>
      <c r="F203" s="24">
        <v>17.920000000000002</v>
      </c>
      <c r="G203" s="81">
        <f t="shared" si="7"/>
        <v>-3.3370411568408587E-3</v>
      </c>
      <c r="L203" s="40">
        <v>43700</v>
      </c>
      <c r="M203" s="43">
        <v>-2.5946400000000001E-2</v>
      </c>
      <c r="N203" s="1">
        <v>-3.3370411568408587E-3</v>
      </c>
    </row>
    <row r="204" spans="2:14">
      <c r="B204" s="40">
        <v>43703</v>
      </c>
      <c r="C204" s="47">
        <v>2878.38</v>
      </c>
      <c r="D204" s="81">
        <f t="shared" si="6"/>
        <v>1.0983067039910699E-2</v>
      </c>
      <c r="E204" s="40">
        <v>43703</v>
      </c>
      <c r="F204" s="24">
        <v>18.040001</v>
      </c>
      <c r="G204" s="81">
        <f t="shared" si="7"/>
        <v>6.6964843749999226E-3</v>
      </c>
      <c r="L204" s="40">
        <v>43703</v>
      </c>
      <c r="M204" s="43">
        <v>1.0983100000000001E-2</v>
      </c>
      <c r="N204" s="1">
        <v>6.6964843749999226E-3</v>
      </c>
    </row>
    <row r="205" spans="2:14">
      <c r="B205" s="40">
        <v>43704</v>
      </c>
      <c r="C205" s="47">
        <v>2869.16</v>
      </c>
      <c r="D205" s="81">
        <f t="shared" si="6"/>
        <v>-3.2031906836484936E-3</v>
      </c>
      <c r="E205" s="40">
        <v>43704</v>
      </c>
      <c r="F205" s="24">
        <v>17.549999</v>
      </c>
      <c r="G205" s="81">
        <f t="shared" si="7"/>
        <v>-2.7161971886808689E-2</v>
      </c>
      <c r="L205" s="40">
        <v>43704</v>
      </c>
      <c r="M205" s="43">
        <v>-3.2031999999999998E-3</v>
      </c>
      <c r="N205" s="1">
        <v>-2.7161971886808689E-2</v>
      </c>
    </row>
    <row r="206" spans="2:14">
      <c r="B206" s="40">
        <v>43705</v>
      </c>
      <c r="C206" s="47">
        <v>2887.94</v>
      </c>
      <c r="D206" s="81">
        <f t="shared" si="6"/>
        <v>6.545469754213773E-3</v>
      </c>
      <c r="E206" s="40">
        <v>43705</v>
      </c>
      <c r="F206" s="24">
        <v>17.829999999999998</v>
      </c>
      <c r="G206" s="81">
        <f t="shared" si="7"/>
        <v>1.5954473843559747E-2</v>
      </c>
      <c r="L206" s="40">
        <v>43705</v>
      </c>
      <c r="M206" s="43">
        <v>6.5455000000000001E-3</v>
      </c>
      <c r="N206" s="1">
        <v>1.5954473843559747E-2</v>
      </c>
    </row>
    <row r="207" spans="2:14">
      <c r="B207" s="40">
        <v>43706</v>
      </c>
      <c r="C207" s="47">
        <v>2924.58</v>
      </c>
      <c r="D207" s="81">
        <f t="shared" si="6"/>
        <v>1.2687244194824032E-2</v>
      </c>
      <c r="E207" s="40">
        <v>43706</v>
      </c>
      <c r="F207" s="24">
        <v>18.100000000000001</v>
      </c>
      <c r="G207" s="81">
        <f t="shared" si="7"/>
        <v>1.5143017386427537E-2</v>
      </c>
      <c r="L207" s="40">
        <v>43706</v>
      </c>
      <c r="M207" s="43">
        <v>1.2687199999999999E-2</v>
      </c>
      <c r="N207" s="1">
        <v>1.5143017386427537E-2</v>
      </c>
    </row>
    <row r="208" spans="2:14">
      <c r="B208" s="40">
        <v>43707</v>
      </c>
      <c r="C208" s="47">
        <v>2926.46</v>
      </c>
      <c r="D208" s="81">
        <f t="shared" si="6"/>
        <v>6.4282734614895531E-4</v>
      </c>
      <c r="E208" s="40">
        <v>43707</v>
      </c>
      <c r="F208" s="24">
        <v>17.950001</v>
      </c>
      <c r="G208" s="81">
        <f t="shared" si="7"/>
        <v>-8.2872375690608013E-3</v>
      </c>
      <c r="L208" s="40">
        <v>43707</v>
      </c>
      <c r="M208" s="43">
        <v>6.4280000000000001E-4</v>
      </c>
      <c r="N208" s="1">
        <v>-8.2872375690608013E-3</v>
      </c>
    </row>
    <row r="209" spans="2:14">
      <c r="B209" s="40">
        <v>43711</v>
      </c>
      <c r="C209" s="47">
        <v>2906.27</v>
      </c>
      <c r="D209" s="81">
        <f t="shared" si="6"/>
        <v>-6.8991204390287386E-3</v>
      </c>
      <c r="E209" s="40">
        <v>43711</v>
      </c>
      <c r="F209" s="24">
        <v>17.77</v>
      </c>
      <c r="G209" s="81">
        <f t="shared" si="7"/>
        <v>-1.0027910304851839E-2</v>
      </c>
      <c r="L209" s="40">
        <v>43711</v>
      </c>
      <c r="M209" s="43">
        <v>-6.8991E-3</v>
      </c>
      <c r="N209" s="1">
        <v>-1.0027910304851839E-2</v>
      </c>
    </row>
    <row r="210" spans="2:14">
      <c r="B210" s="40">
        <v>43712</v>
      </c>
      <c r="C210" s="47">
        <v>2937.78</v>
      </c>
      <c r="D210" s="81">
        <f t="shared" si="6"/>
        <v>1.0842075925499017E-2</v>
      </c>
      <c r="E210" s="40">
        <v>43712</v>
      </c>
      <c r="F210" s="24">
        <v>18.389999</v>
      </c>
      <c r="G210" s="81">
        <f t="shared" si="7"/>
        <v>3.4890208216094454E-2</v>
      </c>
      <c r="L210" s="40">
        <v>43712</v>
      </c>
      <c r="M210" s="43">
        <v>1.08421E-2</v>
      </c>
      <c r="N210" s="1">
        <v>3.4890208216094454E-2</v>
      </c>
    </row>
    <row r="211" spans="2:14">
      <c r="B211" s="40">
        <v>43713</v>
      </c>
      <c r="C211" s="47">
        <v>2976</v>
      </c>
      <c r="D211" s="81">
        <f t="shared" si="6"/>
        <v>1.3009823744460025E-2</v>
      </c>
      <c r="E211" s="40">
        <v>43713</v>
      </c>
      <c r="F211" s="24">
        <v>18.399999999999999</v>
      </c>
      <c r="G211" s="81">
        <f t="shared" si="7"/>
        <v>5.4382819705423024E-4</v>
      </c>
      <c r="L211" s="40">
        <v>43713</v>
      </c>
      <c r="M211" s="43">
        <v>1.30098E-2</v>
      </c>
      <c r="N211" s="1">
        <v>5.4382819705423024E-4</v>
      </c>
    </row>
    <row r="212" spans="2:14">
      <c r="B212" s="40">
        <v>43714</v>
      </c>
      <c r="C212" s="47">
        <v>2978.71</v>
      </c>
      <c r="D212" s="81">
        <f t="shared" si="6"/>
        <v>9.1061827956995245E-4</v>
      </c>
      <c r="E212" s="40">
        <v>43714</v>
      </c>
      <c r="F212" s="24">
        <v>18.489999999999998</v>
      </c>
      <c r="G212" s="81">
        <f t="shared" si="7"/>
        <v>4.891304347826031E-3</v>
      </c>
      <c r="L212" s="40">
        <v>43714</v>
      </c>
      <c r="M212" s="43">
        <v>9.1060000000000002E-4</v>
      </c>
      <c r="N212" s="1">
        <v>4.891304347826031E-3</v>
      </c>
    </row>
    <row r="213" spans="2:14">
      <c r="B213" s="40">
        <v>43717</v>
      </c>
      <c r="C213" s="47">
        <v>2978.43</v>
      </c>
      <c r="D213" s="81">
        <f t="shared" si="6"/>
        <v>-9.4000423002005284E-5</v>
      </c>
      <c r="E213" s="40">
        <v>43717</v>
      </c>
      <c r="F213" s="24">
        <v>18.860001</v>
      </c>
      <c r="G213" s="81">
        <f t="shared" si="7"/>
        <v>2.0010870740941211E-2</v>
      </c>
      <c r="L213" s="40">
        <v>43717</v>
      </c>
      <c r="M213" s="43">
        <v>-9.3999999999999994E-5</v>
      </c>
      <c r="N213" s="1">
        <v>2.0010870740941211E-2</v>
      </c>
    </row>
    <row r="214" spans="2:14">
      <c r="B214" s="40">
        <v>43718</v>
      </c>
      <c r="C214" s="47">
        <v>2979.39</v>
      </c>
      <c r="D214" s="81">
        <f t="shared" si="6"/>
        <v>3.2231746255573235E-4</v>
      </c>
      <c r="E214" s="40">
        <v>43718</v>
      </c>
      <c r="F214" s="24">
        <v>19.91</v>
      </c>
      <c r="G214" s="81">
        <f t="shared" si="7"/>
        <v>5.5673326846589211E-2</v>
      </c>
      <c r="L214" s="40">
        <v>43718</v>
      </c>
      <c r="M214" s="43">
        <v>3.2229999999999997E-4</v>
      </c>
      <c r="N214" s="1">
        <v>5.5673326846589211E-2</v>
      </c>
    </row>
    <row r="215" spans="2:14">
      <c r="B215" s="40">
        <v>43719</v>
      </c>
      <c r="C215" s="47">
        <v>3000.93</v>
      </c>
      <c r="D215" s="81">
        <f t="shared" si="6"/>
        <v>7.2296678179091245E-3</v>
      </c>
      <c r="E215" s="40">
        <v>43719</v>
      </c>
      <c r="F215" s="24">
        <v>19.950001</v>
      </c>
      <c r="G215" s="81">
        <f t="shared" si="7"/>
        <v>2.0090909090908493E-3</v>
      </c>
      <c r="L215" s="40">
        <v>43719</v>
      </c>
      <c r="M215" s="43">
        <v>7.2297000000000004E-3</v>
      </c>
      <c r="N215" s="1">
        <v>2.0090909090908493E-3</v>
      </c>
    </row>
    <row r="216" spans="2:14">
      <c r="B216" s="40">
        <v>43720</v>
      </c>
      <c r="C216" s="47">
        <v>3009.57</v>
      </c>
      <c r="D216" s="81">
        <f t="shared" si="6"/>
        <v>2.8791074766822966E-3</v>
      </c>
      <c r="E216" s="40">
        <v>43720</v>
      </c>
      <c r="F216" s="24">
        <v>19.739999999999998</v>
      </c>
      <c r="G216" s="81">
        <f t="shared" si="7"/>
        <v>-1.0526365387149683E-2</v>
      </c>
      <c r="L216" s="40">
        <v>43720</v>
      </c>
      <c r="M216" s="43">
        <v>2.8790999999999999E-3</v>
      </c>
      <c r="N216" s="1">
        <v>-1.0526365387149683E-2</v>
      </c>
    </row>
    <row r="217" spans="2:14">
      <c r="B217" s="40">
        <v>43721</v>
      </c>
      <c r="C217" s="47">
        <v>3007.39</v>
      </c>
      <c r="D217" s="81">
        <f t="shared" si="6"/>
        <v>-7.2435597111886185E-4</v>
      </c>
      <c r="E217" s="40">
        <v>43721</v>
      </c>
      <c r="F217" s="24">
        <v>20.079999999999998</v>
      </c>
      <c r="G217" s="81">
        <f t="shared" si="7"/>
        <v>1.7223910840932222E-2</v>
      </c>
      <c r="L217" s="40">
        <v>43721</v>
      </c>
      <c r="M217" s="43">
        <v>-7.2440000000000004E-4</v>
      </c>
      <c r="N217" s="1">
        <v>1.7223910840932222E-2</v>
      </c>
    </row>
    <row r="218" spans="2:14">
      <c r="B218" s="40">
        <v>43724</v>
      </c>
      <c r="C218" s="47">
        <v>2997.96</v>
      </c>
      <c r="D218" s="81">
        <f t="shared" si="6"/>
        <v>-3.1356092824674775E-3</v>
      </c>
      <c r="E218" s="40">
        <v>43724</v>
      </c>
      <c r="F218" s="24">
        <v>20.120000999999998</v>
      </c>
      <c r="G218" s="81">
        <f t="shared" si="7"/>
        <v>1.9920816733067781E-3</v>
      </c>
      <c r="L218" s="40">
        <v>43724</v>
      </c>
      <c r="M218" s="43">
        <v>-3.1356000000000001E-3</v>
      </c>
      <c r="N218" s="1">
        <v>1.9920816733067781E-3</v>
      </c>
    </row>
    <row r="219" spans="2:14">
      <c r="B219" s="40">
        <v>43725</v>
      </c>
      <c r="C219" s="47">
        <v>3005.7</v>
      </c>
      <c r="D219" s="81">
        <f t="shared" si="6"/>
        <v>2.5817555938036918E-3</v>
      </c>
      <c r="E219" s="40">
        <v>43725</v>
      </c>
      <c r="F219" s="24">
        <v>19.889999</v>
      </c>
      <c r="G219" s="81">
        <f t="shared" si="7"/>
        <v>-1.1431510366227027E-2</v>
      </c>
      <c r="L219" s="40">
        <v>43725</v>
      </c>
      <c r="M219" s="43">
        <v>2.5818E-3</v>
      </c>
      <c r="N219" s="1">
        <v>-1.1431510366227027E-2</v>
      </c>
    </row>
    <row r="220" spans="2:14">
      <c r="B220" s="40">
        <v>43726</v>
      </c>
      <c r="C220" s="47">
        <v>3006.73</v>
      </c>
      <c r="D220" s="81">
        <f t="shared" si="6"/>
        <v>3.4268223708289192E-4</v>
      </c>
      <c r="E220" s="40">
        <v>43726</v>
      </c>
      <c r="F220" s="24">
        <v>19.52</v>
      </c>
      <c r="G220" s="81">
        <f t="shared" si="7"/>
        <v>-1.8602263378695971E-2</v>
      </c>
      <c r="L220" s="40">
        <v>43726</v>
      </c>
      <c r="M220" s="43">
        <v>3.4269999999999998E-4</v>
      </c>
      <c r="N220" s="1">
        <v>-1.8602263378695971E-2</v>
      </c>
    </row>
    <row r="221" spans="2:14">
      <c r="B221" s="40">
        <v>43727</v>
      </c>
      <c r="C221" s="47">
        <v>3006.79</v>
      </c>
      <c r="D221" s="81">
        <f t="shared" si="6"/>
        <v>1.9955233758972568E-5</v>
      </c>
      <c r="E221" s="40">
        <v>43727</v>
      </c>
      <c r="F221" s="24">
        <v>19.389999</v>
      </c>
      <c r="G221" s="81">
        <f t="shared" si="7"/>
        <v>-6.6598872950819343E-3</v>
      </c>
      <c r="L221" s="40">
        <v>43727</v>
      </c>
      <c r="M221" s="43">
        <v>1.9959999999999999E-5</v>
      </c>
      <c r="N221" s="1">
        <v>-6.6598872950819343E-3</v>
      </c>
    </row>
    <row r="222" spans="2:14">
      <c r="B222" s="40">
        <v>43728</v>
      </c>
      <c r="C222" s="47">
        <v>2992.07</v>
      </c>
      <c r="D222" s="81">
        <f t="shared" si="6"/>
        <v>-4.895586322955614E-3</v>
      </c>
      <c r="E222" s="40">
        <v>43728</v>
      </c>
      <c r="F222" s="24">
        <v>19.239999999999998</v>
      </c>
      <c r="G222" s="81">
        <f t="shared" si="7"/>
        <v>-7.7358951900926565E-3</v>
      </c>
      <c r="L222" s="40">
        <v>43728</v>
      </c>
      <c r="M222" s="43">
        <v>-4.8956E-3</v>
      </c>
      <c r="N222" s="1">
        <v>-7.7358951900926565E-3</v>
      </c>
    </row>
    <row r="223" spans="2:14">
      <c r="B223" s="40">
        <v>43731</v>
      </c>
      <c r="C223" s="47">
        <v>2991.78</v>
      </c>
      <c r="D223" s="81">
        <f t="shared" si="6"/>
        <v>-9.6922866109405703E-5</v>
      </c>
      <c r="E223" s="40">
        <v>43731</v>
      </c>
      <c r="F223" s="24">
        <v>19.219999000000001</v>
      </c>
      <c r="G223" s="81">
        <f t="shared" si="7"/>
        <v>-1.0395530145528298E-3</v>
      </c>
      <c r="L223" s="40">
        <v>43731</v>
      </c>
      <c r="M223" s="43">
        <v>-9.692E-5</v>
      </c>
      <c r="N223" s="1">
        <v>-1.0395530145528298E-3</v>
      </c>
    </row>
    <row r="224" spans="2:14">
      <c r="B224" s="40">
        <v>43732</v>
      </c>
      <c r="C224" s="47">
        <v>2966.6</v>
      </c>
      <c r="D224" s="81">
        <f t="shared" si="6"/>
        <v>-8.4163942535883107E-3</v>
      </c>
      <c r="E224" s="40">
        <v>43732</v>
      </c>
      <c r="F224" s="24">
        <v>19.260000000000002</v>
      </c>
      <c r="G224" s="81">
        <f t="shared" si="7"/>
        <v>2.0812175900737362E-3</v>
      </c>
      <c r="L224" s="40">
        <v>43732</v>
      </c>
      <c r="M224" s="43">
        <v>-8.4163999999999992E-3</v>
      </c>
      <c r="N224" s="1">
        <v>2.0812175900737362E-3</v>
      </c>
    </row>
    <row r="225" spans="2:14">
      <c r="B225" s="40">
        <v>43733</v>
      </c>
      <c r="C225" s="47">
        <v>2984.87</v>
      </c>
      <c r="D225" s="81">
        <f t="shared" si="6"/>
        <v>6.1585653610194413E-3</v>
      </c>
      <c r="E225" s="40">
        <v>43733</v>
      </c>
      <c r="F225" s="24">
        <v>19.489999999999998</v>
      </c>
      <c r="G225" s="81">
        <f t="shared" si="7"/>
        <v>1.1941848390446319E-2</v>
      </c>
      <c r="L225" s="40">
        <v>43733</v>
      </c>
      <c r="M225" s="43">
        <v>6.1586000000000002E-3</v>
      </c>
      <c r="N225" s="1">
        <v>1.1941848390446319E-2</v>
      </c>
    </row>
    <row r="226" spans="2:14">
      <c r="B226" s="40">
        <v>43734</v>
      </c>
      <c r="C226" s="47">
        <v>2977.62</v>
      </c>
      <c r="D226" s="81">
        <f t="shared" si="6"/>
        <v>-2.4289165022262083E-3</v>
      </c>
      <c r="E226" s="40">
        <v>43734</v>
      </c>
      <c r="F226" s="24">
        <v>19.23</v>
      </c>
      <c r="G226" s="81">
        <f t="shared" si="7"/>
        <v>-1.3340174448435049E-2</v>
      </c>
      <c r="L226" s="40">
        <v>43734</v>
      </c>
      <c r="M226" s="43">
        <v>-2.4288999999999999E-3</v>
      </c>
      <c r="N226" s="1">
        <v>-1.3340174448435049E-2</v>
      </c>
    </row>
    <row r="227" spans="2:14">
      <c r="B227" s="40">
        <v>43735</v>
      </c>
      <c r="C227" s="47">
        <v>2961.79</v>
      </c>
      <c r="D227" s="81">
        <f t="shared" si="6"/>
        <v>-5.316326462073695E-3</v>
      </c>
      <c r="E227" s="40">
        <v>43735</v>
      </c>
      <c r="F227" s="24">
        <v>19.200001</v>
      </c>
      <c r="G227" s="81">
        <f t="shared" si="7"/>
        <v>-1.5600104004159787E-3</v>
      </c>
      <c r="L227" s="40">
        <v>43735</v>
      </c>
      <c r="M227" s="43">
        <v>-5.3163000000000004E-3</v>
      </c>
      <c r="N227" s="1">
        <v>-1.5600104004159787E-3</v>
      </c>
    </row>
    <row r="228" spans="2:14">
      <c r="B228" s="40">
        <v>43738</v>
      </c>
      <c r="C228" s="47">
        <v>2976.74</v>
      </c>
      <c r="D228" s="81">
        <f t="shared" si="6"/>
        <v>5.0476232278453548E-3</v>
      </c>
      <c r="E228" s="40">
        <v>43738</v>
      </c>
      <c r="F228" s="24">
        <v>19.34</v>
      </c>
      <c r="G228" s="81">
        <f t="shared" si="7"/>
        <v>7.2916142035617248E-3</v>
      </c>
      <c r="L228" s="40">
        <v>43738</v>
      </c>
      <c r="M228" s="43">
        <v>5.0476000000000002E-3</v>
      </c>
      <c r="N228" s="1">
        <v>7.2916142035617248E-3</v>
      </c>
    </row>
    <row r="229" spans="2:14">
      <c r="B229" s="40">
        <v>43739</v>
      </c>
      <c r="C229" s="47">
        <v>2940.25</v>
      </c>
      <c r="D229" s="81">
        <f t="shared" si="6"/>
        <v>-1.2258376613342059E-2</v>
      </c>
      <c r="E229" s="40">
        <v>43739</v>
      </c>
      <c r="F229" s="24">
        <v>19.18</v>
      </c>
      <c r="G229" s="81">
        <f t="shared" si="7"/>
        <v>-8.2730093071354815E-3</v>
      </c>
      <c r="L229" s="40">
        <v>43739</v>
      </c>
      <c r="M229" s="43">
        <v>-1.2258399999999999E-2</v>
      </c>
      <c r="N229" s="1">
        <v>-8.2730093071354815E-3</v>
      </c>
    </row>
    <row r="230" spans="2:14">
      <c r="B230" s="40">
        <v>43740</v>
      </c>
      <c r="C230" s="47">
        <v>2887.61</v>
      </c>
      <c r="D230" s="81">
        <f t="shared" si="6"/>
        <v>-1.7903239520448921E-2</v>
      </c>
      <c r="E230" s="40">
        <v>43740</v>
      </c>
      <c r="F230" s="24">
        <v>18.389999</v>
      </c>
      <c r="G230" s="81">
        <f t="shared" si="7"/>
        <v>-4.118879040667367E-2</v>
      </c>
      <c r="L230" s="40">
        <v>43740</v>
      </c>
      <c r="M230" s="43">
        <v>-1.7903200000000001E-2</v>
      </c>
      <c r="N230" s="1">
        <v>-4.118879040667367E-2</v>
      </c>
    </row>
    <row r="231" spans="2:14">
      <c r="B231" s="40">
        <v>43741</v>
      </c>
      <c r="C231" s="47">
        <v>2910.63</v>
      </c>
      <c r="D231" s="81">
        <f t="shared" si="6"/>
        <v>7.9719906774113891E-3</v>
      </c>
      <c r="E231" s="40">
        <v>43741</v>
      </c>
      <c r="F231" s="24">
        <v>18.399999999999999</v>
      </c>
      <c r="G231" s="81">
        <f t="shared" si="7"/>
        <v>5.4382819705423024E-4</v>
      </c>
      <c r="L231" s="40">
        <v>43741</v>
      </c>
      <c r="M231" s="43">
        <v>7.9719999999999999E-3</v>
      </c>
      <c r="N231" s="1">
        <v>5.4382819705423024E-4</v>
      </c>
    </row>
    <row r="232" spans="2:14">
      <c r="B232" s="40">
        <v>43742</v>
      </c>
      <c r="C232" s="47">
        <v>2952.01</v>
      </c>
      <c r="D232" s="81">
        <f t="shared" si="6"/>
        <v>1.4216853396000317E-2</v>
      </c>
      <c r="E232" s="40">
        <v>43742</v>
      </c>
      <c r="F232" s="24">
        <v>18.299999</v>
      </c>
      <c r="G232" s="81">
        <f t="shared" si="7"/>
        <v>-5.4348369565216936E-3</v>
      </c>
      <c r="L232" s="40">
        <v>43742</v>
      </c>
      <c r="M232" s="43">
        <v>1.4216899999999999E-2</v>
      </c>
      <c r="N232" s="1">
        <v>-5.4348369565216936E-3</v>
      </c>
    </row>
    <row r="233" spans="2:14">
      <c r="B233" s="40">
        <v>43745</v>
      </c>
      <c r="C233" s="47">
        <v>2938.79</v>
      </c>
      <c r="D233" s="81">
        <f t="shared" si="6"/>
        <v>-4.4783046127893078E-3</v>
      </c>
      <c r="E233" s="40">
        <v>43745</v>
      </c>
      <c r="F233" s="24">
        <v>18.5</v>
      </c>
      <c r="G233" s="81">
        <f t="shared" si="7"/>
        <v>1.0929016990656626E-2</v>
      </c>
      <c r="L233" s="40">
        <v>43745</v>
      </c>
      <c r="M233" s="43">
        <v>-4.4783000000000002E-3</v>
      </c>
      <c r="N233" s="1">
        <v>1.0929016990656626E-2</v>
      </c>
    </row>
    <row r="234" spans="2:14">
      <c r="B234" s="40">
        <v>43746</v>
      </c>
      <c r="C234" s="47">
        <v>2893.06</v>
      </c>
      <c r="D234" s="81">
        <f t="shared" si="6"/>
        <v>-1.5560826054260457E-2</v>
      </c>
      <c r="E234" s="40">
        <v>43746</v>
      </c>
      <c r="F234" s="24">
        <v>18.41</v>
      </c>
      <c r="G234" s="81">
        <f t="shared" si="7"/>
        <v>-4.8648648648648152E-3</v>
      </c>
      <c r="L234" s="40">
        <v>43746</v>
      </c>
      <c r="M234" s="43">
        <v>-1.55608E-2</v>
      </c>
      <c r="N234" s="1">
        <v>-4.8648648648648152E-3</v>
      </c>
    </row>
    <row r="235" spans="2:14">
      <c r="B235" s="40">
        <v>43747</v>
      </c>
      <c r="C235" s="47">
        <v>2919.4</v>
      </c>
      <c r="D235" s="81">
        <f t="shared" si="6"/>
        <v>9.104546742895181E-3</v>
      </c>
      <c r="E235" s="40">
        <v>43747</v>
      </c>
      <c r="F235" s="24">
        <v>18.129999000000002</v>
      </c>
      <c r="G235" s="81">
        <f t="shared" si="7"/>
        <v>-1.5209179793590377E-2</v>
      </c>
      <c r="L235" s="40">
        <v>43747</v>
      </c>
      <c r="M235" s="43">
        <v>9.1044999999999997E-3</v>
      </c>
      <c r="N235" s="1">
        <v>-1.5209179793590377E-2</v>
      </c>
    </row>
    <row r="236" spans="2:14">
      <c r="B236" s="40">
        <v>43748</v>
      </c>
      <c r="C236" s="47">
        <v>2938.13</v>
      </c>
      <c r="D236" s="81">
        <f t="shared" si="6"/>
        <v>6.4157018565458301E-3</v>
      </c>
      <c r="E236" s="40">
        <v>43748</v>
      </c>
      <c r="F236" s="24">
        <v>17.989999999999998</v>
      </c>
      <c r="G236" s="81">
        <f t="shared" si="7"/>
        <v>-7.7219529907311957E-3</v>
      </c>
      <c r="L236" s="40">
        <v>43748</v>
      </c>
      <c r="M236" s="43">
        <v>6.4156999999999999E-3</v>
      </c>
      <c r="N236" s="1">
        <v>-7.7219529907311957E-3</v>
      </c>
    </row>
    <row r="237" spans="2:14">
      <c r="B237" s="40">
        <v>43749</v>
      </c>
      <c r="C237" s="47">
        <v>2970.27</v>
      </c>
      <c r="D237" s="81">
        <f t="shared" si="6"/>
        <v>1.0938930544257763E-2</v>
      </c>
      <c r="E237" s="40">
        <v>43749</v>
      </c>
      <c r="F237" s="24">
        <v>18.110001</v>
      </c>
      <c r="G237" s="81">
        <f t="shared" si="7"/>
        <v>6.6704280155642781E-3</v>
      </c>
      <c r="L237" s="40">
        <v>43749</v>
      </c>
      <c r="M237" s="43">
        <v>1.09389E-2</v>
      </c>
      <c r="N237" s="1">
        <v>6.6704280155642781E-3</v>
      </c>
    </row>
    <row r="238" spans="2:14">
      <c r="B238" s="40">
        <v>43752</v>
      </c>
      <c r="C238" s="47">
        <v>2966.15</v>
      </c>
      <c r="D238" s="81">
        <f t="shared" si="6"/>
        <v>-1.3870792890882111E-3</v>
      </c>
      <c r="E238" s="40">
        <v>43752</v>
      </c>
      <c r="F238" s="24">
        <v>18.030000999999999</v>
      </c>
      <c r="G238" s="81">
        <f t="shared" si="7"/>
        <v>-4.4174486793236989E-3</v>
      </c>
      <c r="L238" s="40">
        <v>43752</v>
      </c>
      <c r="M238" s="43">
        <v>-1.3871000000000001E-3</v>
      </c>
      <c r="N238" s="1">
        <v>-4.4174486793236989E-3</v>
      </c>
    </row>
    <row r="239" spans="2:14">
      <c r="B239" s="40">
        <v>43753</v>
      </c>
      <c r="C239" s="47">
        <v>2995.68</v>
      </c>
      <c r="D239" s="81">
        <f t="shared" si="6"/>
        <v>9.9556664362894232E-3</v>
      </c>
      <c r="E239" s="40">
        <v>43753</v>
      </c>
      <c r="F239" s="24">
        <v>18.149999999999999</v>
      </c>
      <c r="G239" s="81">
        <f t="shared" si="7"/>
        <v>6.6555182110084044E-3</v>
      </c>
      <c r="L239" s="40">
        <v>43753</v>
      </c>
      <c r="M239" s="43">
        <v>9.9556999999999996E-3</v>
      </c>
      <c r="N239" s="1">
        <v>6.6555182110084044E-3</v>
      </c>
    </row>
    <row r="240" spans="2:14">
      <c r="B240" s="40">
        <v>43754</v>
      </c>
      <c r="C240" s="47">
        <v>2989.69</v>
      </c>
      <c r="D240" s="81">
        <f t="shared" si="6"/>
        <v>-1.9995460129251796E-3</v>
      </c>
      <c r="E240" s="40">
        <v>43754</v>
      </c>
      <c r="F240" s="24">
        <v>18.350000000000001</v>
      </c>
      <c r="G240" s="81">
        <f t="shared" si="7"/>
        <v>1.1019283746556585E-2</v>
      </c>
      <c r="L240" s="40">
        <v>43754</v>
      </c>
      <c r="M240" s="43">
        <v>-1.9995E-3</v>
      </c>
      <c r="N240" s="1">
        <v>1.1019283746556585E-2</v>
      </c>
    </row>
    <row r="241" spans="2:14">
      <c r="B241" s="40">
        <v>43755</v>
      </c>
      <c r="C241" s="47">
        <v>2997.95</v>
      </c>
      <c r="D241" s="81">
        <f t="shared" si="6"/>
        <v>2.7628282530964832E-3</v>
      </c>
      <c r="E241" s="40">
        <v>43755</v>
      </c>
      <c r="F241" s="24">
        <v>18.43</v>
      </c>
      <c r="G241" s="81">
        <f t="shared" si="7"/>
        <v>4.3596730245230031E-3</v>
      </c>
      <c r="L241" s="40">
        <v>43755</v>
      </c>
      <c r="M241" s="43">
        <v>2.7628000000000002E-3</v>
      </c>
      <c r="N241" s="1">
        <v>4.3596730245230031E-3</v>
      </c>
    </row>
    <row r="242" spans="2:14">
      <c r="B242" s="40">
        <v>43756</v>
      </c>
      <c r="C242" s="47">
        <v>2986.2</v>
      </c>
      <c r="D242" s="81">
        <f t="shared" si="6"/>
        <v>-3.919344885671916E-3</v>
      </c>
      <c r="E242" s="40">
        <v>43756</v>
      </c>
      <c r="F242" s="24">
        <v>18.290001</v>
      </c>
      <c r="G242" s="81">
        <f t="shared" si="7"/>
        <v>-7.596256104177912E-3</v>
      </c>
      <c r="L242" s="40">
        <v>43756</v>
      </c>
      <c r="M242" s="43">
        <v>-3.9192999999999997E-3</v>
      </c>
      <c r="N242" s="1">
        <v>-7.596256104177912E-3</v>
      </c>
    </row>
    <row r="243" spans="2:14">
      <c r="B243" s="40">
        <v>43759</v>
      </c>
      <c r="C243" s="47">
        <v>3006.72</v>
      </c>
      <c r="D243" s="81">
        <f t="shared" si="6"/>
        <v>6.8716094032550412E-3</v>
      </c>
      <c r="E243" s="40">
        <v>43759</v>
      </c>
      <c r="F243" s="24">
        <v>18.360001</v>
      </c>
      <c r="G243" s="81">
        <f t="shared" si="7"/>
        <v>3.8272277841866487E-3</v>
      </c>
      <c r="L243" s="40">
        <v>43759</v>
      </c>
      <c r="M243" s="43">
        <v>6.8716000000000003E-3</v>
      </c>
      <c r="N243" s="1">
        <v>3.8272277841866487E-3</v>
      </c>
    </row>
    <row r="244" spans="2:14">
      <c r="B244" s="40">
        <v>43760</v>
      </c>
      <c r="C244" s="47">
        <v>2995.99</v>
      </c>
      <c r="D244" s="81">
        <f t="shared" si="6"/>
        <v>-3.5686728395061262E-3</v>
      </c>
      <c r="E244" s="40">
        <v>43760</v>
      </c>
      <c r="F244" s="24">
        <v>19.100000000000001</v>
      </c>
      <c r="G244" s="81">
        <f t="shared" si="7"/>
        <v>4.0304954231756396E-2</v>
      </c>
      <c r="L244" s="40">
        <v>43760</v>
      </c>
      <c r="M244" s="43">
        <v>-3.5687000000000002E-3</v>
      </c>
      <c r="N244" s="1">
        <v>4.0304954231756396E-2</v>
      </c>
    </row>
    <row r="245" spans="2:14">
      <c r="B245" s="40">
        <v>43761</v>
      </c>
      <c r="C245" s="47">
        <v>3004.52</v>
      </c>
      <c r="D245" s="81">
        <f t="shared" si="6"/>
        <v>2.8471390091422411E-3</v>
      </c>
      <c r="E245" s="40">
        <v>43761</v>
      </c>
      <c r="F245" s="24">
        <v>19.049999</v>
      </c>
      <c r="G245" s="81">
        <f t="shared" si="7"/>
        <v>-2.617853403141468E-3</v>
      </c>
      <c r="L245" s="40">
        <v>43761</v>
      </c>
      <c r="M245" s="43">
        <v>2.8471E-3</v>
      </c>
      <c r="N245" s="1">
        <v>-2.617853403141468E-3</v>
      </c>
    </row>
    <row r="246" spans="2:14">
      <c r="B246" s="40">
        <v>43762</v>
      </c>
      <c r="C246" s="47">
        <v>3010.29</v>
      </c>
      <c r="D246" s="81">
        <f t="shared" si="6"/>
        <v>1.920439870594981E-3</v>
      </c>
      <c r="E246" s="40">
        <v>43762</v>
      </c>
      <c r="F246" s="24">
        <v>18.709999</v>
      </c>
      <c r="G246" s="81">
        <f t="shared" si="7"/>
        <v>-1.7847769965762206E-2</v>
      </c>
      <c r="L246" s="40">
        <v>43762</v>
      </c>
      <c r="M246" s="43">
        <v>1.9204000000000001E-3</v>
      </c>
      <c r="N246" s="1">
        <v>-1.7847769965762206E-2</v>
      </c>
    </row>
    <row r="247" spans="2:14">
      <c r="B247" s="40">
        <v>43763</v>
      </c>
      <c r="C247" s="47">
        <v>3022.55</v>
      </c>
      <c r="D247" s="81">
        <f t="shared" si="6"/>
        <v>4.0726973148768053E-3</v>
      </c>
      <c r="E247" s="40">
        <v>43763</v>
      </c>
      <c r="F247" s="24">
        <v>18.940000999999999</v>
      </c>
      <c r="G247" s="81">
        <f t="shared" si="7"/>
        <v>1.2292999053607589E-2</v>
      </c>
      <c r="L247" s="40">
        <v>43763</v>
      </c>
      <c r="M247" s="43">
        <v>4.0727000000000003E-3</v>
      </c>
      <c r="N247" s="1">
        <v>1.2292999053607589E-2</v>
      </c>
    </row>
    <row r="248" spans="2:14">
      <c r="B248" s="40">
        <v>43766</v>
      </c>
      <c r="C248" s="47">
        <v>3039.42</v>
      </c>
      <c r="D248" s="81">
        <f t="shared" si="6"/>
        <v>5.5813799606292402E-3</v>
      </c>
      <c r="E248" s="40">
        <v>43766</v>
      </c>
      <c r="F248" s="24">
        <v>19.260000000000002</v>
      </c>
      <c r="G248" s="81">
        <f t="shared" si="7"/>
        <v>1.6895405654941742E-2</v>
      </c>
      <c r="L248" s="40">
        <v>43766</v>
      </c>
      <c r="M248" s="43">
        <v>5.5814000000000002E-3</v>
      </c>
      <c r="N248" s="1">
        <v>1.6895405654941742E-2</v>
      </c>
    </row>
    <row r="249" spans="2:14">
      <c r="B249" s="40">
        <v>43767</v>
      </c>
      <c r="C249" s="47">
        <v>3036.89</v>
      </c>
      <c r="D249" s="81">
        <f t="shared" si="6"/>
        <v>-8.323956544341593E-4</v>
      </c>
      <c r="E249" s="40">
        <v>43767</v>
      </c>
      <c r="F249" s="24">
        <v>18.989999999999998</v>
      </c>
      <c r="G249" s="81">
        <f t="shared" si="7"/>
        <v>-1.4018691588785215E-2</v>
      </c>
      <c r="L249" s="40">
        <v>43767</v>
      </c>
      <c r="M249" s="43">
        <v>-8.3239999999999996E-4</v>
      </c>
      <c r="N249" s="1">
        <v>-1.4018691588785215E-2</v>
      </c>
    </row>
    <row r="250" spans="2:14">
      <c r="B250" s="40">
        <v>43768</v>
      </c>
      <c r="C250" s="47">
        <v>3046.77</v>
      </c>
      <c r="D250" s="81">
        <f t="shared" si="6"/>
        <v>3.2533282404039188E-3</v>
      </c>
      <c r="E250" s="40">
        <v>43768</v>
      </c>
      <c r="F250" s="24">
        <v>18.75</v>
      </c>
      <c r="G250" s="81">
        <f t="shared" si="7"/>
        <v>-1.2638230647709192E-2</v>
      </c>
      <c r="L250" s="40">
        <v>43768</v>
      </c>
      <c r="M250" s="43">
        <v>3.2533000000000002E-3</v>
      </c>
      <c r="N250" s="1">
        <v>-1.2638230647709192E-2</v>
      </c>
    </row>
    <row r="251" spans="2:14">
      <c r="B251" s="40">
        <v>43769</v>
      </c>
      <c r="C251" s="47">
        <v>3037.56</v>
      </c>
      <c r="D251" s="81">
        <f t="shared" si="6"/>
        <v>-3.0228734036372717E-3</v>
      </c>
      <c r="E251" s="40">
        <v>43769</v>
      </c>
      <c r="F251" s="24">
        <v>19.41</v>
      </c>
      <c r="G251" s="81">
        <f t="shared" si="7"/>
        <v>3.5199999999999898E-2</v>
      </c>
      <c r="L251" s="40">
        <v>43769</v>
      </c>
      <c r="M251" s="43">
        <v>-3.0228999999999998E-3</v>
      </c>
      <c r="N251" s="1">
        <v>3.5199999999999898E-2</v>
      </c>
    </row>
    <row r="252" spans="2:14">
      <c r="B252" s="40">
        <v>43770</v>
      </c>
      <c r="C252" s="47">
        <v>3066.91</v>
      </c>
      <c r="D252" s="81">
        <f t="shared" si="6"/>
        <v>9.6623605788856981E-3</v>
      </c>
      <c r="E252" s="40">
        <v>43770</v>
      </c>
      <c r="F252" s="24">
        <v>19.48</v>
      </c>
      <c r="G252" s="81">
        <f t="shared" si="7"/>
        <v>3.606388459556964E-3</v>
      </c>
      <c r="L252" s="40">
        <v>43770</v>
      </c>
      <c r="M252" s="43">
        <v>9.6623999999999998E-3</v>
      </c>
      <c r="N252" s="1">
        <v>3.606388459556964E-3</v>
      </c>
    </row>
    <row r="253" spans="2:14">
      <c r="B253" s="40">
        <v>43773</v>
      </c>
      <c r="C253" s="47">
        <v>3078.27</v>
      </c>
      <c r="D253" s="81">
        <f t="shared" si="6"/>
        <v>3.70405391746087E-3</v>
      </c>
      <c r="E253" s="40">
        <v>43773</v>
      </c>
      <c r="F253" s="24">
        <v>20.129999000000002</v>
      </c>
      <c r="G253" s="81">
        <f t="shared" si="7"/>
        <v>3.336750513347031E-2</v>
      </c>
      <c r="L253" s="40">
        <v>43773</v>
      </c>
      <c r="M253" s="43">
        <v>3.7041000000000001E-3</v>
      </c>
      <c r="N253" s="1">
        <v>3.336750513347031E-2</v>
      </c>
    </row>
    <row r="254" spans="2:14">
      <c r="B254" s="40">
        <v>43774</v>
      </c>
      <c r="C254" s="47">
        <v>3074.62</v>
      </c>
      <c r="D254" s="81">
        <f t="shared" si="6"/>
        <v>-1.1857309462782739E-3</v>
      </c>
      <c r="E254" s="40">
        <v>43774</v>
      </c>
      <c r="F254" s="24">
        <v>20.350000000000001</v>
      </c>
      <c r="G254" s="81">
        <f t="shared" si="7"/>
        <v>1.0929011968654256E-2</v>
      </c>
      <c r="L254" s="40">
        <v>43774</v>
      </c>
      <c r="M254" s="43">
        <v>-1.1857E-3</v>
      </c>
      <c r="N254" s="1">
        <v>1.0929011968654256E-2</v>
      </c>
    </row>
    <row r="255" spans="2:14">
      <c r="B255" s="40">
        <v>43775</v>
      </c>
      <c r="C255" s="47">
        <v>3076.78</v>
      </c>
      <c r="D255" s="81">
        <f t="shared" si="6"/>
        <v>7.0252584059171674E-4</v>
      </c>
      <c r="E255" s="40">
        <v>43775</v>
      </c>
      <c r="F255" s="24">
        <v>19.920000000000002</v>
      </c>
      <c r="G255" s="81">
        <f t="shared" si="7"/>
        <v>-2.1130221130221116E-2</v>
      </c>
      <c r="L255" s="40">
        <v>43775</v>
      </c>
      <c r="M255" s="43">
        <v>7.025E-4</v>
      </c>
      <c r="N255" s="1">
        <v>-2.1130221130221116E-2</v>
      </c>
    </row>
    <row r="256" spans="2:14">
      <c r="B256" s="40">
        <v>43776</v>
      </c>
      <c r="C256" s="47">
        <v>3085.18</v>
      </c>
      <c r="D256" s="81">
        <f t="shared" si="6"/>
        <v>2.7301269509030224E-3</v>
      </c>
      <c r="E256" s="40">
        <v>43776</v>
      </c>
      <c r="F256" s="24">
        <v>19.75</v>
      </c>
      <c r="G256" s="81">
        <f t="shared" si="7"/>
        <v>-8.5341365461848451E-3</v>
      </c>
      <c r="L256" s="40">
        <v>43776</v>
      </c>
      <c r="M256" s="43">
        <v>2.7301000000000001E-3</v>
      </c>
      <c r="N256" s="1">
        <v>-8.5341365461848451E-3</v>
      </c>
    </row>
    <row r="257" spans="2:14">
      <c r="B257" s="40">
        <v>43777</v>
      </c>
      <c r="C257" s="47">
        <v>3093.08</v>
      </c>
      <c r="D257" s="81">
        <f t="shared" si="6"/>
        <v>2.5606285532773221E-3</v>
      </c>
      <c r="E257" s="40">
        <v>43777</v>
      </c>
      <c r="F257" s="24">
        <v>19.829999999999998</v>
      </c>
      <c r="G257" s="81">
        <f t="shared" si="7"/>
        <v>4.0506329113922934E-3</v>
      </c>
      <c r="L257" s="40">
        <v>43777</v>
      </c>
      <c r="M257" s="43">
        <v>2.5606000000000001E-3</v>
      </c>
      <c r="N257" s="1">
        <v>4.0506329113922934E-3</v>
      </c>
    </row>
    <row r="258" spans="2:14">
      <c r="B258" s="40">
        <v>43780</v>
      </c>
      <c r="C258" s="47">
        <v>3087.01</v>
      </c>
      <c r="D258" s="81">
        <f t="shared" si="6"/>
        <v>-1.9624452002533488E-3</v>
      </c>
      <c r="E258" s="40">
        <v>43780</v>
      </c>
      <c r="F258" s="24">
        <v>19.649999999999999</v>
      </c>
      <c r="G258" s="81">
        <f t="shared" si="7"/>
        <v>-9.0771558245082984E-3</v>
      </c>
      <c r="L258" s="40">
        <v>43780</v>
      </c>
      <c r="M258" s="43">
        <v>-1.9624E-3</v>
      </c>
      <c r="N258" s="1">
        <v>-9.0771558245082984E-3</v>
      </c>
    </row>
    <row r="259" spans="2:14">
      <c r="B259" s="40">
        <v>43781</v>
      </c>
      <c r="C259" s="47">
        <v>3091.84</v>
      </c>
      <c r="D259" s="81">
        <f t="shared" si="6"/>
        <v>1.5646207819215441E-3</v>
      </c>
      <c r="E259" s="40">
        <v>43781</v>
      </c>
      <c r="F259" s="24">
        <v>19.82</v>
      </c>
      <c r="G259" s="81">
        <f t="shared" si="7"/>
        <v>8.6513994910941694E-3</v>
      </c>
      <c r="L259" s="40">
        <v>43781</v>
      </c>
      <c r="M259" s="43">
        <v>1.5646E-3</v>
      </c>
      <c r="N259" s="1">
        <v>8.6513994910941694E-3</v>
      </c>
    </row>
    <row r="260" spans="2:14">
      <c r="B260" s="40">
        <v>43782</v>
      </c>
      <c r="C260" s="47">
        <v>3094.04</v>
      </c>
      <c r="D260" s="81">
        <f t="shared" si="6"/>
        <v>7.1155040364301314E-4</v>
      </c>
      <c r="E260" s="40">
        <v>43782</v>
      </c>
      <c r="F260" s="24">
        <v>19.870000999999998</v>
      </c>
      <c r="G260" s="81">
        <f t="shared" si="7"/>
        <v>2.5227547931381267E-3</v>
      </c>
      <c r="L260" s="40">
        <v>43782</v>
      </c>
      <c r="M260" s="43">
        <v>7.1159999999999995E-4</v>
      </c>
      <c r="N260" s="1">
        <v>2.5227547931381267E-3</v>
      </c>
    </row>
    <row r="261" spans="2:14">
      <c r="B261" s="40">
        <v>43783</v>
      </c>
      <c r="C261" s="47">
        <v>3096.63</v>
      </c>
      <c r="D261" s="81">
        <f t="shared" si="6"/>
        <v>8.3709325024883263E-4</v>
      </c>
      <c r="E261" s="40">
        <v>43783</v>
      </c>
      <c r="F261" s="24">
        <v>19.899999999999999</v>
      </c>
      <c r="G261" s="81">
        <f t="shared" si="7"/>
        <v>1.5097633865241988E-3</v>
      </c>
      <c r="L261" s="40">
        <v>43783</v>
      </c>
      <c r="M261" s="43">
        <v>8.3710000000000002E-4</v>
      </c>
      <c r="N261" s="1">
        <v>1.5097633865241988E-3</v>
      </c>
    </row>
    <row r="262" spans="2:14">
      <c r="B262" s="40">
        <v>43784</v>
      </c>
      <c r="C262" s="47">
        <v>3120.46</v>
      </c>
      <c r="D262" s="81">
        <f t="shared" ref="D262:D325" si="8">C262/C261-1</f>
        <v>7.6954624866387711E-3</v>
      </c>
      <c r="E262" s="40">
        <v>43784</v>
      </c>
      <c r="F262" s="24">
        <v>19.860001</v>
      </c>
      <c r="G262" s="81">
        <f t="shared" ref="G262:G325" si="9">F262/F261-1</f>
        <v>-2.0099999999999563E-3</v>
      </c>
      <c r="L262" s="40">
        <v>43784</v>
      </c>
      <c r="M262" s="43">
        <v>7.6955000000000001E-3</v>
      </c>
      <c r="N262" s="1">
        <v>-2.0099999999999563E-3</v>
      </c>
    </row>
    <row r="263" spans="2:14">
      <c r="B263" s="40">
        <v>43787</v>
      </c>
      <c r="C263" s="47">
        <v>3122.03</v>
      </c>
      <c r="D263" s="81">
        <f t="shared" si="8"/>
        <v>5.0313094864229413E-4</v>
      </c>
      <c r="E263" s="40">
        <v>43787</v>
      </c>
      <c r="F263" s="24">
        <v>19.940000999999999</v>
      </c>
      <c r="G263" s="81">
        <f t="shared" si="9"/>
        <v>4.0281971788418414E-3</v>
      </c>
      <c r="L263" s="40">
        <v>43787</v>
      </c>
      <c r="M263" s="43">
        <v>5.0310000000000003E-4</v>
      </c>
      <c r="N263" s="1">
        <v>4.0281971788418414E-3</v>
      </c>
    </row>
    <row r="264" spans="2:14">
      <c r="B264" s="40">
        <v>43788</v>
      </c>
      <c r="C264" s="47">
        <v>3120.18</v>
      </c>
      <c r="D264" s="81">
        <f t="shared" si="8"/>
        <v>-5.9256317203881803E-4</v>
      </c>
      <c r="E264" s="40">
        <v>43788</v>
      </c>
      <c r="F264" s="24">
        <v>19.780000999999999</v>
      </c>
      <c r="G264" s="81">
        <f t="shared" si="9"/>
        <v>-8.0240718142391421E-3</v>
      </c>
      <c r="L264" s="40">
        <v>43788</v>
      </c>
      <c r="M264" s="43">
        <v>-5.9259999999999998E-4</v>
      </c>
      <c r="N264" s="1">
        <v>-8.0240718142391421E-3</v>
      </c>
    </row>
    <row r="265" spans="2:14">
      <c r="B265" s="40">
        <v>43789</v>
      </c>
      <c r="C265" s="47">
        <v>3108.46</v>
      </c>
      <c r="D265" s="81">
        <f t="shared" si="8"/>
        <v>-3.7561935529359936E-3</v>
      </c>
      <c r="E265" s="40">
        <v>43789</v>
      </c>
      <c r="F265" s="24">
        <v>19.629999000000002</v>
      </c>
      <c r="G265" s="81">
        <f t="shared" si="9"/>
        <v>-7.5835183223700309E-3</v>
      </c>
      <c r="L265" s="40">
        <v>43789</v>
      </c>
      <c r="M265" s="43">
        <v>-3.7561999999999999E-3</v>
      </c>
      <c r="N265" s="1">
        <v>-7.5835183223700309E-3</v>
      </c>
    </row>
    <row r="266" spans="2:14">
      <c r="B266" s="40">
        <v>43790</v>
      </c>
      <c r="C266" s="47">
        <v>3103.54</v>
      </c>
      <c r="D266" s="81">
        <f t="shared" si="8"/>
        <v>-1.5827773238195064E-3</v>
      </c>
      <c r="E266" s="40">
        <v>43790</v>
      </c>
      <c r="F266" s="24">
        <v>19.459999</v>
      </c>
      <c r="G266" s="81">
        <f t="shared" si="9"/>
        <v>-8.6602143993996794E-3</v>
      </c>
      <c r="L266" s="40">
        <v>43790</v>
      </c>
      <c r="M266" s="43">
        <v>-1.5828000000000001E-3</v>
      </c>
      <c r="N266" s="1">
        <v>-8.6602143993996794E-3</v>
      </c>
    </row>
    <row r="267" spans="2:14">
      <c r="B267" s="40">
        <v>43791</v>
      </c>
      <c r="C267" s="47">
        <v>3110.29</v>
      </c>
      <c r="D267" s="81">
        <f t="shared" si="8"/>
        <v>2.1749357185665286E-3</v>
      </c>
      <c r="E267" s="40">
        <v>43791</v>
      </c>
      <c r="F267" s="24">
        <v>19.66</v>
      </c>
      <c r="G267" s="81">
        <f t="shared" si="9"/>
        <v>1.0277544207479172E-2</v>
      </c>
      <c r="L267" s="40">
        <v>43791</v>
      </c>
      <c r="M267" s="43">
        <v>2.1749E-3</v>
      </c>
      <c r="N267" s="1">
        <v>1.0277544207479172E-2</v>
      </c>
    </row>
    <row r="268" spans="2:14">
      <c r="B268" s="40">
        <v>43794</v>
      </c>
      <c r="C268" s="47">
        <v>3133.64</v>
      </c>
      <c r="D268" s="81">
        <f t="shared" si="8"/>
        <v>7.5073385439943241E-3</v>
      </c>
      <c r="E268" s="40">
        <v>43794</v>
      </c>
      <c r="F268" s="24">
        <v>19.420000000000002</v>
      </c>
      <c r="G268" s="81">
        <f t="shared" si="9"/>
        <v>-1.2207527975584886E-2</v>
      </c>
      <c r="L268" s="40">
        <v>43794</v>
      </c>
      <c r="M268" s="43">
        <v>7.5072999999999997E-3</v>
      </c>
      <c r="N268" s="1">
        <v>-1.2207527975584886E-2</v>
      </c>
    </row>
    <row r="269" spans="2:14">
      <c r="B269" s="40">
        <v>43795</v>
      </c>
      <c r="C269" s="47">
        <v>3140.52</v>
      </c>
      <c r="D269" s="81">
        <f t="shared" si="8"/>
        <v>2.1955297992111156E-3</v>
      </c>
      <c r="E269" s="40">
        <v>43795</v>
      </c>
      <c r="F269" s="24">
        <v>19.23</v>
      </c>
      <c r="G269" s="81">
        <f t="shared" si="9"/>
        <v>-9.7837281153451139E-3</v>
      </c>
      <c r="L269" s="40">
        <v>43795</v>
      </c>
      <c r="M269" s="43">
        <v>2.1955E-3</v>
      </c>
      <c r="N269" s="1">
        <v>-9.7837281153451139E-3</v>
      </c>
    </row>
    <row r="270" spans="2:14">
      <c r="B270" s="40">
        <v>43796</v>
      </c>
      <c r="C270" s="47">
        <v>3153.63</v>
      </c>
      <c r="D270" s="81">
        <f t="shared" si="8"/>
        <v>4.1744679225097503E-3</v>
      </c>
      <c r="E270" s="40">
        <v>43796</v>
      </c>
      <c r="F270" s="24">
        <v>19.450001</v>
      </c>
      <c r="G270" s="81">
        <f t="shared" si="9"/>
        <v>1.1440509620384898E-2</v>
      </c>
      <c r="L270" s="40">
        <v>43796</v>
      </c>
      <c r="M270" s="43">
        <v>4.1745000000000003E-3</v>
      </c>
      <c r="N270" s="1">
        <v>1.1440509620384898E-2</v>
      </c>
    </row>
    <row r="271" spans="2:14">
      <c r="B271" s="40">
        <v>43798</v>
      </c>
      <c r="C271" s="47">
        <v>3140.98</v>
      </c>
      <c r="D271" s="81">
        <f t="shared" si="8"/>
        <v>-4.0112505271703291E-3</v>
      </c>
      <c r="E271" s="40">
        <v>43798</v>
      </c>
      <c r="F271" s="24">
        <v>19.799999</v>
      </c>
      <c r="G271" s="81">
        <f t="shared" si="9"/>
        <v>1.7994754858881468E-2</v>
      </c>
      <c r="L271" s="40">
        <v>43798</v>
      </c>
      <c r="M271" s="43">
        <v>-4.0112999999999998E-3</v>
      </c>
      <c r="N271" s="1">
        <v>1.7994754858881468E-2</v>
      </c>
    </row>
    <row r="272" spans="2:14">
      <c r="B272" s="40">
        <v>43801</v>
      </c>
      <c r="C272" s="47">
        <v>3113.87</v>
      </c>
      <c r="D272" s="81">
        <f t="shared" si="8"/>
        <v>-8.6310641901572449E-3</v>
      </c>
      <c r="E272" s="40">
        <v>43801</v>
      </c>
      <c r="F272" s="24">
        <v>20.139999</v>
      </c>
      <c r="G272" s="81">
        <f t="shared" si="9"/>
        <v>1.7171718038975659E-2</v>
      </c>
      <c r="L272" s="40">
        <v>43801</v>
      </c>
      <c r="M272" s="43">
        <v>-8.6310999999999992E-3</v>
      </c>
      <c r="N272" s="1">
        <v>1.7171718038975659E-2</v>
      </c>
    </row>
    <row r="273" spans="2:14">
      <c r="B273" s="40">
        <v>43802</v>
      </c>
      <c r="C273" s="47">
        <v>3093.2</v>
      </c>
      <c r="D273" s="81">
        <f t="shared" si="8"/>
        <v>-6.6380420505672832E-3</v>
      </c>
      <c r="E273" s="40">
        <v>43802</v>
      </c>
      <c r="F273" s="24">
        <v>20.219999000000001</v>
      </c>
      <c r="G273" s="81">
        <f t="shared" si="9"/>
        <v>3.9721948347664071E-3</v>
      </c>
      <c r="L273" s="40">
        <v>43802</v>
      </c>
      <c r="M273" s="43">
        <v>-6.6379999999999998E-3</v>
      </c>
      <c r="N273" s="1">
        <v>3.9721948347664071E-3</v>
      </c>
    </row>
    <row r="274" spans="2:14">
      <c r="B274" s="40">
        <v>43803</v>
      </c>
      <c r="C274" s="47">
        <v>3112.76</v>
      </c>
      <c r="D274" s="81">
        <f t="shared" si="8"/>
        <v>6.323548428811776E-3</v>
      </c>
      <c r="E274" s="40">
        <v>43803</v>
      </c>
      <c r="F274" s="24">
        <v>20.100000000000001</v>
      </c>
      <c r="G274" s="81">
        <f t="shared" si="9"/>
        <v>-5.9346689384108808E-3</v>
      </c>
      <c r="L274" s="40">
        <v>43803</v>
      </c>
      <c r="M274" s="43">
        <v>6.3235000000000001E-3</v>
      </c>
      <c r="N274" s="1">
        <v>-5.9346689384108808E-3</v>
      </c>
    </row>
    <row r="275" spans="2:14">
      <c r="B275" s="40">
        <v>43804</v>
      </c>
      <c r="C275" s="47">
        <v>3117.43</v>
      </c>
      <c r="D275" s="81">
        <f t="shared" si="8"/>
        <v>1.500276282141666E-3</v>
      </c>
      <c r="E275" s="40">
        <v>43804</v>
      </c>
      <c r="F275" s="24">
        <v>19.879999000000002</v>
      </c>
      <c r="G275" s="81">
        <f t="shared" si="9"/>
        <v>-1.0945323383084626E-2</v>
      </c>
      <c r="L275" s="40">
        <v>43804</v>
      </c>
      <c r="M275" s="43">
        <v>1.5003E-3</v>
      </c>
      <c r="N275" s="1">
        <v>-1.0945323383084626E-2</v>
      </c>
    </row>
    <row r="276" spans="2:14">
      <c r="B276" s="40">
        <v>43805</v>
      </c>
      <c r="C276" s="47">
        <v>3145.91</v>
      </c>
      <c r="D276" s="81">
        <f t="shared" si="8"/>
        <v>9.1357303933048417E-3</v>
      </c>
      <c r="E276" s="40">
        <v>43805</v>
      </c>
      <c r="F276" s="24">
        <v>20.120000999999998</v>
      </c>
      <c r="G276" s="81">
        <f t="shared" si="9"/>
        <v>1.2072535818537844E-2</v>
      </c>
      <c r="L276" s="40">
        <v>43805</v>
      </c>
      <c r="M276" s="43">
        <v>9.1357000000000001E-3</v>
      </c>
      <c r="N276" s="1">
        <v>1.2072535818537844E-2</v>
      </c>
    </row>
    <row r="277" spans="2:14">
      <c r="B277" s="40">
        <v>43808</v>
      </c>
      <c r="C277" s="47">
        <v>3135.96</v>
      </c>
      <c r="D277" s="81">
        <f t="shared" si="8"/>
        <v>-3.1628368262283102E-3</v>
      </c>
      <c r="E277" s="40">
        <v>43808</v>
      </c>
      <c r="F277" s="24">
        <v>20.370000999999998</v>
      </c>
      <c r="G277" s="81">
        <f t="shared" si="9"/>
        <v>1.2425446698536513E-2</v>
      </c>
      <c r="L277" s="40">
        <v>43808</v>
      </c>
      <c r="M277" s="43">
        <v>-3.1627999999999999E-3</v>
      </c>
      <c r="N277" s="1">
        <v>1.2425446698536513E-2</v>
      </c>
    </row>
    <row r="278" spans="2:14">
      <c r="B278" s="40">
        <v>43809</v>
      </c>
      <c r="C278" s="47">
        <v>3132.52</v>
      </c>
      <c r="D278" s="81">
        <f t="shared" si="8"/>
        <v>-1.0969527672547441E-3</v>
      </c>
      <c r="E278" s="40">
        <v>43809</v>
      </c>
      <c r="F278" s="24">
        <v>20.040001</v>
      </c>
      <c r="G278" s="81">
        <f t="shared" si="9"/>
        <v>-1.6200293755508355E-2</v>
      </c>
      <c r="L278" s="40">
        <v>43809</v>
      </c>
      <c r="M278" s="43">
        <v>-1.0970000000000001E-3</v>
      </c>
      <c r="N278" s="1">
        <v>-1.6200293755508355E-2</v>
      </c>
    </row>
    <row r="279" spans="2:14">
      <c r="B279" s="40">
        <v>43810</v>
      </c>
      <c r="C279" s="47">
        <v>3141.63</v>
      </c>
      <c r="D279" s="81">
        <f t="shared" si="8"/>
        <v>2.9082017034209873E-3</v>
      </c>
      <c r="E279" s="40">
        <v>43810</v>
      </c>
      <c r="F279" s="24">
        <v>19.73</v>
      </c>
      <c r="G279" s="81">
        <f t="shared" si="9"/>
        <v>-1.5469111004535407E-2</v>
      </c>
      <c r="L279" s="40">
        <v>43810</v>
      </c>
      <c r="M279" s="43">
        <v>2.9082000000000001E-3</v>
      </c>
      <c r="N279" s="1">
        <v>-1.5469111004535407E-2</v>
      </c>
    </row>
    <row r="280" spans="2:14">
      <c r="B280" s="40">
        <v>43811</v>
      </c>
      <c r="C280" s="47">
        <v>3168.57</v>
      </c>
      <c r="D280" s="81">
        <f t="shared" si="8"/>
        <v>8.5751663945150547E-3</v>
      </c>
      <c r="E280" s="40">
        <v>43811</v>
      </c>
      <c r="F280" s="24">
        <v>19.98</v>
      </c>
      <c r="G280" s="81">
        <f t="shared" si="9"/>
        <v>1.2671059300557452E-2</v>
      </c>
      <c r="L280" s="40">
        <v>43811</v>
      </c>
      <c r="M280" s="43">
        <v>8.5751999999999998E-3</v>
      </c>
      <c r="N280" s="1">
        <v>1.2671059300557452E-2</v>
      </c>
    </row>
    <row r="281" spans="2:14">
      <c r="B281" s="40">
        <v>43812</v>
      </c>
      <c r="C281" s="47">
        <v>3168.8</v>
      </c>
      <c r="D281" s="81">
        <f t="shared" si="8"/>
        <v>7.258794976916505E-5</v>
      </c>
      <c r="E281" s="40">
        <v>43812</v>
      </c>
      <c r="F281" s="24">
        <v>19.620000999999998</v>
      </c>
      <c r="G281" s="81">
        <f t="shared" si="9"/>
        <v>-1.8017967967968063E-2</v>
      </c>
      <c r="L281" s="40">
        <v>43812</v>
      </c>
      <c r="M281" s="43">
        <v>7.2589999999999994E-5</v>
      </c>
      <c r="N281" s="1">
        <v>-1.8017967967968063E-2</v>
      </c>
    </row>
    <row r="282" spans="2:14">
      <c r="B282" s="40">
        <v>43815</v>
      </c>
      <c r="C282" s="47">
        <v>3191.45</v>
      </c>
      <c r="D282" s="81">
        <f t="shared" si="8"/>
        <v>7.1478162080280683E-3</v>
      </c>
      <c r="E282" s="40">
        <v>43815</v>
      </c>
      <c r="F282" s="24">
        <v>19.760000000000002</v>
      </c>
      <c r="G282" s="81">
        <f t="shared" si="9"/>
        <v>7.1355246108297798E-3</v>
      </c>
      <c r="L282" s="40">
        <v>43815</v>
      </c>
      <c r="M282" s="43">
        <v>7.1478000000000002E-3</v>
      </c>
      <c r="N282" s="1">
        <v>7.1355246108297798E-3</v>
      </c>
    </row>
    <row r="283" spans="2:14">
      <c r="B283" s="40">
        <v>43816</v>
      </c>
      <c r="C283" s="47">
        <v>3192.52</v>
      </c>
      <c r="D283" s="81">
        <f t="shared" si="8"/>
        <v>3.3527080167328194E-4</v>
      </c>
      <c r="E283" s="40">
        <v>43816</v>
      </c>
      <c r="F283" s="24">
        <v>19.989999999999998</v>
      </c>
      <c r="G283" s="81">
        <f t="shared" si="9"/>
        <v>1.1639676113360142E-2</v>
      </c>
      <c r="L283" s="40">
        <v>43816</v>
      </c>
      <c r="M283" s="43">
        <v>3.3530000000000002E-4</v>
      </c>
      <c r="N283" s="1">
        <v>1.1639676113360142E-2</v>
      </c>
    </row>
    <row r="284" spans="2:14">
      <c r="B284" s="40">
        <v>43817</v>
      </c>
      <c r="C284" s="47">
        <v>3191.14</v>
      </c>
      <c r="D284" s="81">
        <f t="shared" si="8"/>
        <v>-4.3226040870536497E-4</v>
      </c>
      <c r="E284" s="40">
        <v>43817</v>
      </c>
      <c r="F284" s="24">
        <v>19.920000000000002</v>
      </c>
      <c r="G284" s="81">
        <f t="shared" si="9"/>
        <v>-3.5017508754375815E-3</v>
      </c>
      <c r="L284" s="40">
        <v>43817</v>
      </c>
      <c r="M284" s="43">
        <v>-4.3229999999999999E-4</v>
      </c>
      <c r="N284" s="1">
        <v>-3.5017508754375815E-3</v>
      </c>
    </row>
    <row r="285" spans="2:14">
      <c r="B285" s="40">
        <v>43818</v>
      </c>
      <c r="C285" s="47">
        <v>3205.37</v>
      </c>
      <c r="D285" s="81">
        <f t="shared" si="8"/>
        <v>4.4592214694434418E-3</v>
      </c>
      <c r="E285" s="40">
        <v>43818</v>
      </c>
      <c r="F285" s="24">
        <v>19.899999999999999</v>
      </c>
      <c r="G285" s="81">
        <f t="shared" si="9"/>
        <v>-1.0040160642571516E-3</v>
      </c>
      <c r="L285" s="40">
        <v>43818</v>
      </c>
      <c r="M285" s="43">
        <v>4.4592E-3</v>
      </c>
      <c r="N285" s="1">
        <v>-1.0040160642571516E-3</v>
      </c>
    </row>
    <row r="286" spans="2:14">
      <c r="B286" s="40">
        <v>43819</v>
      </c>
      <c r="C286" s="47">
        <v>3221.22</v>
      </c>
      <c r="D286" s="81">
        <f t="shared" si="8"/>
        <v>4.9448269622538454E-3</v>
      </c>
      <c r="E286" s="40">
        <v>43819</v>
      </c>
      <c r="F286" s="24">
        <v>19.739999999999998</v>
      </c>
      <c r="G286" s="81">
        <f t="shared" si="9"/>
        <v>-8.040201005025116E-3</v>
      </c>
      <c r="L286" s="40">
        <v>43819</v>
      </c>
      <c r="M286" s="43">
        <v>4.9448000000000001E-3</v>
      </c>
      <c r="N286" s="1">
        <v>-8.040201005025116E-3</v>
      </c>
    </row>
    <row r="287" spans="2:14">
      <c r="B287" s="40">
        <v>43822</v>
      </c>
      <c r="C287" s="47">
        <v>3224.01</v>
      </c>
      <c r="D287" s="81">
        <f t="shared" si="8"/>
        <v>8.6613146571812294E-4</v>
      </c>
      <c r="E287" s="40">
        <v>43822</v>
      </c>
      <c r="F287" s="24">
        <v>19.700001</v>
      </c>
      <c r="G287" s="81">
        <f t="shared" si="9"/>
        <v>-2.0262917933129287E-3</v>
      </c>
      <c r="L287" s="40">
        <v>43822</v>
      </c>
      <c r="M287" s="43">
        <v>8.6609999999999996E-4</v>
      </c>
      <c r="N287" s="1">
        <v>-2.0262917933129287E-3</v>
      </c>
    </row>
    <row r="288" spans="2:14">
      <c r="B288" s="40">
        <v>43823</v>
      </c>
      <c r="C288" s="47">
        <v>3223.38</v>
      </c>
      <c r="D288" s="81">
        <f t="shared" si="8"/>
        <v>-1.9540882317370389E-4</v>
      </c>
      <c r="E288" s="40">
        <v>43823</v>
      </c>
      <c r="F288" s="24">
        <v>19.829999999999998</v>
      </c>
      <c r="G288" s="81">
        <f t="shared" si="9"/>
        <v>6.5989336751808292E-3</v>
      </c>
      <c r="L288" s="40">
        <v>43823</v>
      </c>
      <c r="M288" s="43">
        <v>-1.9540000000000001E-4</v>
      </c>
      <c r="N288" s="1">
        <v>6.5989336751808292E-3</v>
      </c>
    </row>
    <row r="289" spans="2:14">
      <c r="B289" s="40">
        <v>43825</v>
      </c>
      <c r="C289" s="47">
        <v>3239.91</v>
      </c>
      <c r="D289" s="81">
        <f t="shared" si="8"/>
        <v>5.1281573999961694E-3</v>
      </c>
      <c r="E289" s="40">
        <v>43825</v>
      </c>
      <c r="F289" s="24">
        <v>19.709999</v>
      </c>
      <c r="G289" s="81">
        <f t="shared" si="9"/>
        <v>-6.0514876449823118E-3</v>
      </c>
      <c r="L289" s="40">
        <v>43825</v>
      </c>
      <c r="M289" s="43">
        <v>5.1282000000000003E-3</v>
      </c>
      <c r="N289" s="1">
        <v>-6.0514876449823118E-3</v>
      </c>
    </row>
    <row r="290" spans="2:14">
      <c r="B290" s="40">
        <v>43826</v>
      </c>
      <c r="C290" s="47">
        <v>3240.02</v>
      </c>
      <c r="D290" s="81">
        <f t="shared" si="8"/>
        <v>3.3951560382883272E-5</v>
      </c>
      <c r="E290" s="40">
        <v>43826</v>
      </c>
      <c r="F290" s="24">
        <v>19.510000000000002</v>
      </c>
      <c r="G290" s="81">
        <f t="shared" si="9"/>
        <v>-1.0147083213956409E-2</v>
      </c>
      <c r="L290" s="40">
        <v>43826</v>
      </c>
      <c r="M290" s="43">
        <v>3.3949999999999999E-5</v>
      </c>
      <c r="N290" s="1">
        <v>-1.0147083213956409E-2</v>
      </c>
    </row>
    <row r="291" spans="2:14">
      <c r="B291" s="40">
        <v>43829</v>
      </c>
      <c r="C291" s="47">
        <v>3221.29</v>
      </c>
      <c r="D291" s="81">
        <f t="shared" si="8"/>
        <v>-5.7808285134042237E-3</v>
      </c>
      <c r="E291" s="40">
        <v>43829</v>
      </c>
      <c r="F291" s="24">
        <v>19.540001</v>
      </c>
      <c r="G291" s="81">
        <f t="shared" si="9"/>
        <v>1.5377242439773564E-3</v>
      </c>
      <c r="L291" s="40">
        <v>43829</v>
      </c>
      <c r="M291" s="43">
        <v>-5.7808E-3</v>
      </c>
      <c r="N291" s="1">
        <v>1.5377242439773564E-3</v>
      </c>
    </row>
    <row r="292" spans="2:14">
      <c r="B292" s="40">
        <v>43830</v>
      </c>
      <c r="C292" s="47">
        <v>3230.78</v>
      </c>
      <c r="D292" s="81">
        <f t="shared" si="8"/>
        <v>2.9460247292234509E-3</v>
      </c>
      <c r="E292" s="40">
        <v>43830</v>
      </c>
      <c r="F292" s="24">
        <v>19.350000000000001</v>
      </c>
      <c r="G292" s="81">
        <f t="shared" si="9"/>
        <v>-9.7236944870165987E-3</v>
      </c>
      <c r="L292" s="40">
        <v>43830</v>
      </c>
      <c r="M292" s="43">
        <v>2.9459999999999998E-3</v>
      </c>
      <c r="N292" s="1">
        <v>-9.7236944870165987E-3</v>
      </c>
    </row>
    <row r="293" spans="2:14">
      <c r="B293" s="40">
        <v>43832</v>
      </c>
      <c r="C293" s="47">
        <v>3257.85</v>
      </c>
      <c r="D293" s="81">
        <f t="shared" si="8"/>
        <v>8.3787815945375321E-3</v>
      </c>
      <c r="E293" s="40">
        <v>43832</v>
      </c>
      <c r="F293" s="24">
        <v>18.59</v>
      </c>
      <c r="G293" s="81">
        <f t="shared" si="9"/>
        <v>-3.9276485788113824E-2</v>
      </c>
      <c r="L293" s="40">
        <v>43832</v>
      </c>
      <c r="M293" s="43">
        <v>8.3788000000000005E-3</v>
      </c>
      <c r="N293" s="1">
        <v>-3.9276485788113824E-2</v>
      </c>
    </row>
    <row r="294" spans="2:14">
      <c r="B294" s="40">
        <v>43833</v>
      </c>
      <c r="C294" s="47">
        <v>3234.85</v>
      </c>
      <c r="D294" s="81">
        <f t="shared" si="8"/>
        <v>-7.059870773669763E-3</v>
      </c>
      <c r="E294" s="40">
        <v>43833</v>
      </c>
      <c r="F294" s="24">
        <v>18.5</v>
      </c>
      <c r="G294" s="81">
        <f t="shared" si="9"/>
        <v>-4.8413125336201901E-3</v>
      </c>
      <c r="L294" s="40">
        <v>43833</v>
      </c>
      <c r="M294" s="43">
        <v>-7.0599E-3</v>
      </c>
      <c r="N294" s="1">
        <v>-4.8413125336201901E-3</v>
      </c>
    </row>
    <row r="295" spans="2:14">
      <c r="B295" s="40">
        <v>43836</v>
      </c>
      <c r="C295" s="47">
        <v>3246.28</v>
      </c>
      <c r="D295" s="81">
        <f t="shared" si="8"/>
        <v>3.5333941295578875E-3</v>
      </c>
      <c r="E295" s="40">
        <v>43836</v>
      </c>
      <c r="F295" s="24">
        <v>18.68</v>
      </c>
      <c r="G295" s="81">
        <f t="shared" si="9"/>
        <v>9.7297297297296303E-3</v>
      </c>
      <c r="L295" s="40">
        <v>43836</v>
      </c>
      <c r="M295" s="43">
        <v>3.5333999999999999E-3</v>
      </c>
      <c r="N295" s="1">
        <v>9.7297297297296303E-3</v>
      </c>
    </row>
    <row r="296" spans="2:14">
      <c r="B296" s="40">
        <v>43837</v>
      </c>
      <c r="C296" s="47">
        <v>3237.18</v>
      </c>
      <c r="D296" s="81">
        <f t="shared" si="8"/>
        <v>-2.8032085956850583E-3</v>
      </c>
      <c r="E296" s="40">
        <v>43837</v>
      </c>
      <c r="F296" s="24">
        <v>18.34</v>
      </c>
      <c r="G296" s="81">
        <f t="shared" si="9"/>
        <v>-1.8201284796573902E-2</v>
      </c>
      <c r="L296" s="40">
        <v>43837</v>
      </c>
      <c r="M296" s="43">
        <v>-2.8032E-3</v>
      </c>
      <c r="N296" s="1">
        <v>-1.8201284796573902E-2</v>
      </c>
    </row>
    <row r="297" spans="2:14">
      <c r="B297" s="40">
        <v>43838</v>
      </c>
      <c r="C297" s="47">
        <v>3253.05</v>
      </c>
      <c r="D297" s="81">
        <f t="shared" si="8"/>
        <v>4.9024150649641385E-3</v>
      </c>
      <c r="E297" s="40">
        <v>43838</v>
      </c>
      <c r="F297" s="24">
        <v>18.32</v>
      </c>
      <c r="G297" s="81">
        <f t="shared" si="9"/>
        <v>-1.0905125408942062E-3</v>
      </c>
      <c r="L297" s="40">
        <v>43838</v>
      </c>
      <c r="M297" s="43">
        <v>4.9024000000000003E-3</v>
      </c>
      <c r="N297" s="1">
        <v>-1.0905125408942062E-3</v>
      </c>
    </row>
    <row r="298" spans="2:14">
      <c r="B298" s="40">
        <v>43839</v>
      </c>
      <c r="C298" s="47">
        <v>3274.7</v>
      </c>
      <c r="D298" s="81">
        <f t="shared" si="8"/>
        <v>6.6552927252885308E-3</v>
      </c>
      <c r="E298" s="40">
        <v>43839</v>
      </c>
      <c r="F298" s="24">
        <v>18.02</v>
      </c>
      <c r="G298" s="81">
        <f t="shared" si="9"/>
        <v>-1.637554585152845E-2</v>
      </c>
      <c r="L298" s="40">
        <v>43839</v>
      </c>
      <c r="M298" s="43">
        <v>6.6553000000000003E-3</v>
      </c>
      <c r="N298" s="1">
        <v>-1.637554585152845E-2</v>
      </c>
    </row>
    <row r="299" spans="2:14">
      <c r="B299" s="40">
        <v>43840</v>
      </c>
      <c r="C299" s="47">
        <v>3265.35</v>
      </c>
      <c r="D299" s="81">
        <f t="shared" si="8"/>
        <v>-2.8552233792408233E-3</v>
      </c>
      <c r="E299" s="40">
        <v>43840</v>
      </c>
      <c r="F299" s="24">
        <v>17.75</v>
      </c>
      <c r="G299" s="81">
        <f t="shared" si="9"/>
        <v>-1.4983351831298508E-2</v>
      </c>
      <c r="L299" s="40">
        <v>43840</v>
      </c>
      <c r="M299" s="43">
        <v>-2.8552E-3</v>
      </c>
      <c r="N299" s="1">
        <v>-1.4983351831298508E-2</v>
      </c>
    </row>
    <row r="300" spans="2:14">
      <c r="B300" s="40">
        <v>43843</v>
      </c>
      <c r="C300" s="47">
        <v>3288.13</v>
      </c>
      <c r="D300" s="81">
        <f t="shared" si="8"/>
        <v>6.9762812562206289E-3</v>
      </c>
      <c r="E300" s="40">
        <v>43843</v>
      </c>
      <c r="F300" s="24">
        <v>17.34</v>
      </c>
      <c r="G300" s="81">
        <f t="shared" si="9"/>
        <v>-2.3098591549295833E-2</v>
      </c>
      <c r="L300" s="40">
        <v>43843</v>
      </c>
      <c r="M300" s="43">
        <v>6.9763000000000004E-3</v>
      </c>
      <c r="N300" s="1">
        <v>-2.3098591549295833E-2</v>
      </c>
    </row>
    <row r="301" spans="2:14">
      <c r="B301" s="40">
        <v>43844</v>
      </c>
      <c r="C301" s="47">
        <v>3283.15</v>
      </c>
      <c r="D301" s="81">
        <f t="shared" si="8"/>
        <v>-1.5145386587512855E-3</v>
      </c>
      <c r="E301" s="40">
        <v>43844</v>
      </c>
      <c r="F301" s="24">
        <v>17.700001</v>
      </c>
      <c r="G301" s="81">
        <f t="shared" si="9"/>
        <v>2.0761303344867477E-2</v>
      </c>
      <c r="L301" s="40">
        <v>43844</v>
      </c>
      <c r="M301" s="43">
        <v>-1.5145E-3</v>
      </c>
      <c r="N301" s="1">
        <v>2.0761303344867477E-2</v>
      </c>
    </row>
    <row r="302" spans="2:14">
      <c r="B302" s="40">
        <v>43845</v>
      </c>
      <c r="C302" s="47">
        <v>3289.29</v>
      </c>
      <c r="D302" s="81">
        <f t="shared" si="8"/>
        <v>1.870155186330269E-3</v>
      </c>
      <c r="E302" s="40">
        <v>43845</v>
      </c>
      <c r="F302" s="24">
        <v>17.82</v>
      </c>
      <c r="G302" s="81">
        <f t="shared" si="9"/>
        <v>6.7796041367456095E-3</v>
      </c>
      <c r="L302" s="40">
        <v>43845</v>
      </c>
      <c r="M302" s="43">
        <v>1.8702E-3</v>
      </c>
      <c r="N302" s="1">
        <v>6.7796041367456095E-3</v>
      </c>
    </row>
    <row r="303" spans="2:14">
      <c r="B303" s="40">
        <v>43846</v>
      </c>
      <c r="C303" s="47">
        <v>3316.81</v>
      </c>
      <c r="D303" s="81">
        <f t="shared" si="8"/>
        <v>8.3665471879950104E-3</v>
      </c>
      <c r="E303" s="40">
        <v>43846</v>
      </c>
      <c r="F303" s="24">
        <v>17.850000000000001</v>
      </c>
      <c r="G303" s="81">
        <f t="shared" si="9"/>
        <v>1.6835016835017313E-3</v>
      </c>
      <c r="L303" s="40">
        <v>43846</v>
      </c>
      <c r="M303" s="43">
        <v>8.3665000000000007E-3</v>
      </c>
      <c r="N303" s="1">
        <v>1.6835016835017313E-3</v>
      </c>
    </row>
    <row r="304" spans="2:14">
      <c r="B304" s="40">
        <v>43847</v>
      </c>
      <c r="C304" s="47">
        <v>3329.62</v>
      </c>
      <c r="D304" s="81">
        <f t="shared" si="8"/>
        <v>3.862144651035182E-3</v>
      </c>
      <c r="E304" s="40">
        <v>43847</v>
      </c>
      <c r="F304" s="24">
        <v>17.59</v>
      </c>
      <c r="G304" s="81">
        <f t="shared" si="9"/>
        <v>-1.4565826330532272E-2</v>
      </c>
      <c r="L304" s="40">
        <v>43847</v>
      </c>
      <c r="M304" s="43">
        <v>3.8620999999999998E-3</v>
      </c>
      <c r="N304" s="1">
        <v>-1.4565826330532272E-2</v>
      </c>
    </row>
    <row r="305" spans="2:14">
      <c r="B305" s="40">
        <v>43851</v>
      </c>
      <c r="C305" s="47">
        <v>3320.79</v>
      </c>
      <c r="D305" s="81">
        <f t="shared" si="8"/>
        <v>-2.6519542770646609E-3</v>
      </c>
      <c r="E305" s="40">
        <v>43851</v>
      </c>
      <c r="F305" s="24">
        <v>17.350000000000001</v>
      </c>
      <c r="G305" s="81">
        <f t="shared" si="9"/>
        <v>-1.3644115974985715E-2</v>
      </c>
      <c r="L305" s="40">
        <v>43851</v>
      </c>
      <c r="M305" s="43">
        <v>-2.6519999999999998E-3</v>
      </c>
      <c r="N305" s="1">
        <v>-1.3644115974985715E-2</v>
      </c>
    </row>
    <row r="306" spans="2:14">
      <c r="B306" s="40">
        <v>43852</v>
      </c>
      <c r="C306" s="47">
        <v>3321.75</v>
      </c>
      <c r="D306" s="81">
        <f t="shared" si="8"/>
        <v>2.8908783753256451E-4</v>
      </c>
      <c r="E306" s="40">
        <v>43852</v>
      </c>
      <c r="F306" s="24">
        <v>17.309999000000001</v>
      </c>
      <c r="G306" s="81">
        <f t="shared" si="9"/>
        <v>-2.305533141210403E-3</v>
      </c>
      <c r="L306" s="40">
        <v>43852</v>
      </c>
      <c r="M306" s="43">
        <v>2.8909999999999998E-4</v>
      </c>
      <c r="N306" s="1">
        <v>-2.305533141210403E-3</v>
      </c>
    </row>
    <row r="307" spans="2:14">
      <c r="B307" s="40">
        <v>43853</v>
      </c>
      <c r="C307" s="47">
        <v>3325.54</v>
      </c>
      <c r="D307" s="81">
        <f t="shared" si="8"/>
        <v>1.1409648528637462E-3</v>
      </c>
      <c r="E307" s="40">
        <v>43853</v>
      </c>
      <c r="F307" s="24">
        <v>17.290001</v>
      </c>
      <c r="G307" s="81">
        <f t="shared" si="9"/>
        <v>-1.1552860286128119E-3</v>
      </c>
      <c r="L307" s="40">
        <v>43853</v>
      </c>
      <c r="M307" s="43">
        <v>1.1410000000000001E-3</v>
      </c>
      <c r="N307" s="1">
        <v>-1.1552860286128119E-3</v>
      </c>
    </row>
    <row r="308" spans="2:14">
      <c r="B308" s="40">
        <v>43854</v>
      </c>
      <c r="C308" s="47">
        <v>3295.47</v>
      </c>
      <c r="D308" s="81">
        <f t="shared" si="8"/>
        <v>-9.0421405245464381E-3</v>
      </c>
      <c r="E308" s="40">
        <v>43854</v>
      </c>
      <c r="F308" s="24">
        <v>17.030000999999999</v>
      </c>
      <c r="G308" s="81">
        <f t="shared" si="9"/>
        <v>-1.5037593115234782E-2</v>
      </c>
      <c r="L308" s="40">
        <v>43854</v>
      </c>
      <c r="M308" s="43">
        <v>-9.0421000000000008E-3</v>
      </c>
      <c r="N308" s="1">
        <v>-1.5037593115234782E-2</v>
      </c>
    </row>
    <row r="309" spans="2:14">
      <c r="B309" s="40">
        <v>43857</v>
      </c>
      <c r="C309" s="47">
        <v>3243.63</v>
      </c>
      <c r="D309" s="81">
        <f t="shared" si="8"/>
        <v>-1.5730684849202037E-2</v>
      </c>
      <c r="E309" s="40">
        <v>43857</v>
      </c>
      <c r="F309" s="24">
        <v>16.579999999999998</v>
      </c>
      <c r="G309" s="81">
        <f t="shared" si="9"/>
        <v>-2.6424014889958047E-2</v>
      </c>
      <c r="L309" s="40">
        <v>43857</v>
      </c>
      <c r="M309" s="43">
        <v>-1.57307E-2</v>
      </c>
      <c r="N309" s="1">
        <v>-2.6424014889958047E-2</v>
      </c>
    </row>
    <row r="310" spans="2:14">
      <c r="B310" s="40">
        <v>43858</v>
      </c>
      <c r="C310" s="47">
        <v>3276.24</v>
      </c>
      <c r="D310" s="81">
        <f t="shared" si="8"/>
        <v>1.0053551114029613E-2</v>
      </c>
      <c r="E310" s="40">
        <v>43858</v>
      </c>
      <c r="F310" s="24">
        <v>16.34</v>
      </c>
      <c r="G310" s="81">
        <f t="shared" si="9"/>
        <v>-1.4475271411338864E-2</v>
      </c>
      <c r="L310" s="40">
        <v>43858</v>
      </c>
      <c r="M310" s="43">
        <v>1.0053599999999999E-2</v>
      </c>
      <c r="N310" s="1">
        <v>-1.4475271411338864E-2</v>
      </c>
    </row>
    <row r="311" spans="2:14">
      <c r="B311" s="40">
        <v>43859</v>
      </c>
      <c r="C311" s="47">
        <v>3273.4</v>
      </c>
      <c r="D311" s="81">
        <f t="shared" si="8"/>
        <v>-8.6684736160957954E-4</v>
      </c>
      <c r="E311" s="40">
        <v>43859</v>
      </c>
      <c r="F311" s="24">
        <v>15.71</v>
      </c>
      <c r="G311" s="81">
        <f t="shared" si="9"/>
        <v>-3.8555691554467475E-2</v>
      </c>
      <c r="L311" s="40">
        <v>43859</v>
      </c>
      <c r="M311" s="43">
        <v>-8.6680000000000004E-4</v>
      </c>
      <c r="N311" s="1">
        <v>-3.8555691554467475E-2</v>
      </c>
    </row>
    <row r="312" spans="2:14">
      <c r="B312" s="40">
        <v>43860</v>
      </c>
      <c r="C312" s="47">
        <v>3283.66</v>
      </c>
      <c r="D312" s="81">
        <f t="shared" si="8"/>
        <v>3.1343557157694768E-3</v>
      </c>
      <c r="E312" s="40">
        <v>43860</v>
      </c>
      <c r="F312" s="24">
        <v>15.79</v>
      </c>
      <c r="G312" s="81">
        <f t="shared" si="9"/>
        <v>5.0922978994270007E-3</v>
      </c>
      <c r="L312" s="40">
        <v>43860</v>
      </c>
      <c r="M312" s="43">
        <v>3.1343999999999999E-3</v>
      </c>
      <c r="N312" s="1">
        <v>5.0922978994270007E-3</v>
      </c>
    </row>
    <row r="313" spans="2:14">
      <c r="B313" s="40">
        <v>43861</v>
      </c>
      <c r="C313" s="47">
        <v>3225.52</v>
      </c>
      <c r="D313" s="81">
        <f t="shared" si="8"/>
        <v>-1.7705852615678808E-2</v>
      </c>
      <c r="E313" s="40">
        <v>43861</v>
      </c>
      <c r="F313" s="24">
        <v>15.63</v>
      </c>
      <c r="G313" s="81">
        <f t="shared" si="9"/>
        <v>-1.0132995566814351E-2</v>
      </c>
      <c r="L313" s="40">
        <v>43861</v>
      </c>
      <c r="M313" s="43">
        <v>-1.77059E-2</v>
      </c>
      <c r="N313" s="1">
        <v>-1.0132995566814351E-2</v>
      </c>
    </row>
    <row r="314" spans="2:14">
      <c r="B314" s="40">
        <v>43864</v>
      </c>
      <c r="C314" s="47">
        <v>3248.92</v>
      </c>
      <c r="D314" s="81">
        <f t="shared" si="8"/>
        <v>7.2546442124061805E-3</v>
      </c>
      <c r="E314" s="40">
        <v>43864</v>
      </c>
      <c r="F314" s="24">
        <v>14.83</v>
      </c>
      <c r="G314" s="81">
        <f t="shared" si="9"/>
        <v>-5.1183621241202903E-2</v>
      </c>
      <c r="L314" s="40">
        <v>43864</v>
      </c>
      <c r="M314" s="43">
        <v>7.2545999999999999E-3</v>
      </c>
      <c r="N314" s="1">
        <v>-5.1183621241202903E-2</v>
      </c>
    </row>
    <row r="315" spans="2:14">
      <c r="B315" s="40">
        <v>43865</v>
      </c>
      <c r="C315" s="47">
        <v>3297.59</v>
      </c>
      <c r="D315" s="81">
        <f t="shared" si="8"/>
        <v>1.4980362705145023E-2</v>
      </c>
      <c r="E315" s="40">
        <v>43865</v>
      </c>
      <c r="F315" s="24">
        <v>14.52</v>
      </c>
      <c r="G315" s="81">
        <f t="shared" si="9"/>
        <v>-2.0903573836817291E-2</v>
      </c>
      <c r="L315" s="40">
        <v>43865</v>
      </c>
      <c r="M315" s="43">
        <v>1.49804E-2</v>
      </c>
      <c r="N315" s="1">
        <v>-2.0903573836817291E-2</v>
      </c>
    </row>
    <row r="316" spans="2:14">
      <c r="B316" s="40">
        <v>43866</v>
      </c>
      <c r="C316" s="47">
        <v>3334.69</v>
      </c>
      <c r="D316" s="81">
        <f t="shared" si="8"/>
        <v>1.1250640619361318E-2</v>
      </c>
      <c r="E316" s="40">
        <v>43866</v>
      </c>
      <c r="F316" s="24">
        <v>15.36</v>
      </c>
      <c r="G316" s="81">
        <f t="shared" si="9"/>
        <v>5.7851239669421517E-2</v>
      </c>
      <c r="L316" s="40">
        <v>43866</v>
      </c>
      <c r="M316" s="43">
        <v>1.1250599999999999E-2</v>
      </c>
      <c r="N316" s="1">
        <v>5.7851239669421517E-2</v>
      </c>
    </row>
    <row r="317" spans="2:14">
      <c r="B317" s="40">
        <v>43867</v>
      </c>
      <c r="C317" s="47">
        <v>3345.78</v>
      </c>
      <c r="D317" s="81">
        <f t="shared" si="8"/>
        <v>3.3256464618900416E-3</v>
      </c>
      <c r="E317" s="40">
        <v>43867</v>
      </c>
      <c r="F317" s="24">
        <v>15.12</v>
      </c>
      <c r="G317" s="81">
        <f t="shared" si="9"/>
        <v>-1.5625E-2</v>
      </c>
      <c r="L317" s="40">
        <v>43867</v>
      </c>
      <c r="M317" s="43">
        <v>3.3256000000000002E-3</v>
      </c>
      <c r="N317" s="1">
        <v>-1.5625E-2</v>
      </c>
    </row>
    <row r="318" spans="2:14">
      <c r="B318" s="40">
        <v>43868</v>
      </c>
      <c r="C318" s="47">
        <v>3327.71</v>
      </c>
      <c r="D318" s="81">
        <f t="shared" si="8"/>
        <v>-5.4008332885008281E-3</v>
      </c>
      <c r="E318" s="40">
        <v>43868</v>
      </c>
      <c r="F318" s="24">
        <v>14.93</v>
      </c>
      <c r="G318" s="81">
        <f t="shared" si="9"/>
        <v>-1.2566137566137559E-2</v>
      </c>
      <c r="L318" s="40">
        <v>43868</v>
      </c>
      <c r="M318" s="43">
        <v>-5.4007999999999999E-3</v>
      </c>
      <c r="N318" s="1">
        <v>-1.2566137566137559E-2</v>
      </c>
    </row>
    <row r="319" spans="2:14">
      <c r="B319" s="40">
        <v>43871</v>
      </c>
      <c r="C319" s="47">
        <v>3352.09</v>
      </c>
      <c r="D319" s="81">
        <f t="shared" si="8"/>
        <v>7.3263595685921779E-3</v>
      </c>
      <c r="E319" s="40">
        <v>43871</v>
      </c>
      <c r="F319" s="24">
        <v>14.78</v>
      </c>
      <c r="G319" s="81">
        <f t="shared" si="9"/>
        <v>-1.0046885465505695E-2</v>
      </c>
      <c r="L319" s="40">
        <v>43871</v>
      </c>
      <c r="M319" s="43">
        <v>7.3264000000000003E-3</v>
      </c>
      <c r="N319" s="1">
        <v>-1.0046885465505695E-2</v>
      </c>
    </row>
    <row r="320" spans="2:14">
      <c r="B320" s="40">
        <v>43872</v>
      </c>
      <c r="C320" s="47">
        <v>3357.75</v>
      </c>
      <c r="D320" s="81">
        <f t="shared" si="8"/>
        <v>1.6884988171557147E-3</v>
      </c>
      <c r="E320" s="40">
        <v>43872</v>
      </c>
      <c r="F320" s="24">
        <v>15.15</v>
      </c>
      <c r="G320" s="81">
        <f t="shared" si="9"/>
        <v>2.5033829499323534E-2</v>
      </c>
      <c r="L320" s="40">
        <v>43872</v>
      </c>
      <c r="M320" s="43">
        <v>1.6884999999999999E-3</v>
      </c>
      <c r="N320" s="1">
        <v>2.5033829499323534E-2</v>
      </c>
    </row>
    <row r="321" spans="2:14">
      <c r="B321" s="40">
        <v>43873</v>
      </c>
      <c r="C321" s="47">
        <v>3379.45</v>
      </c>
      <c r="D321" s="81">
        <f t="shared" si="8"/>
        <v>6.4626610081155444E-3</v>
      </c>
      <c r="E321" s="40">
        <v>43873</v>
      </c>
      <c r="F321" s="24">
        <v>15.43</v>
      </c>
      <c r="G321" s="81">
        <f t="shared" si="9"/>
        <v>1.848184818481835E-2</v>
      </c>
      <c r="L321" s="40">
        <v>43873</v>
      </c>
      <c r="M321" s="43">
        <v>6.4627E-3</v>
      </c>
      <c r="N321" s="1">
        <v>1.848184818481835E-2</v>
      </c>
    </row>
    <row r="322" spans="2:14">
      <c r="B322" s="40">
        <v>43874</v>
      </c>
      <c r="C322" s="47">
        <v>3373.94</v>
      </c>
      <c r="D322" s="81">
        <f t="shared" si="8"/>
        <v>-1.6304428235363044E-3</v>
      </c>
      <c r="E322" s="40">
        <v>43874</v>
      </c>
      <c r="F322" s="24">
        <v>15.45</v>
      </c>
      <c r="G322" s="81">
        <f t="shared" si="9"/>
        <v>1.2961762799741372E-3</v>
      </c>
      <c r="L322" s="40">
        <v>43874</v>
      </c>
      <c r="M322" s="43">
        <v>-1.6303999999999999E-3</v>
      </c>
      <c r="N322" s="1">
        <v>1.2961762799741372E-3</v>
      </c>
    </row>
    <row r="323" spans="2:14">
      <c r="B323" s="40">
        <v>43875</v>
      </c>
      <c r="C323" s="47">
        <v>3380.16</v>
      </c>
      <c r="D323" s="81">
        <f t="shared" si="8"/>
        <v>1.8435419717006685E-3</v>
      </c>
      <c r="E323" s="40">
        <v>43875</v>
      </c>
      <c r="F323" s="24">
        <v>15.45</v>
      </c>
      <c r="G323" s="81">
        <f t="shared" si="9"/>
        <v>0</v>
      </c>
      <c r="L323" s="40">
        <v>43875</v>
      </c>
      <c r="M323" s="43">
        <v>1.8435000000000001E-3</v>
      </c>
      <c r="N323" s="1">
        <v>0</v>
      </c>
    </row>
    <row r="324" spans="2:14">
      <c r="B324" s="40">
        <v>43879</v>
      </c>
      <c r="C324" s="47">
        <v>3370.29</v>
      </c>
      <c r="D324" s="81">
        <f t="shared" si="8"/>
        <v>-2.9199801192842934E-3</v>
      </c>
      <c r="E324" s="40">
        <v>43879</v>
      </c>
      <c r="F324" s="24">
        <v>15.97</v>
      </c>
      <c r="G324" s="81">
        <f t="shared" si="9"/>
        <v>3.3656957928802633E-2</v>
      </c>
      <c r="L324" s="40">
        <v>43879</v>
      </c>
      <c r="M324" s="43">
        <v>-2.9199999999999999E-3</v>
      </c>
      <c r="N324" s="1">
        <v>3.3656957928802633E-2</v>
      </c>
    </row>
    <row r="325" spans="2:14">
      <c r="B325" s="40">
        <v>43880</v>
      </c>
      <c r="C325" s="47">
        <v>3386.15</v>
      </c>
      <c r="D325" s="81">
        <f t="shared" si="8"/>
        <v>4.7058265015771372E-3</v>
      </c>
      <c r="E325" s="40">
        <v>43880</v>
      </c>
      <c r="F325" s="24">
        <v>15.86</v>
      </c>
      <c r="G325" s="81">
        <f t="shared" si="9"/>
        <v>-6.8879148403256929E-3</v>
      </c>
      <c r="L325" s="40">
        <v>43880</v>
      </c>
      <c r="M325" s="43">
        <v>4.7057999999999996E-3</v>
      </c>
      <c r="N325" s="1">
        <v>-6.8879148403256929E-3</v>
      </c>
    </row>
    <row r="326" spans="2:14">
      <c r="B326" s="40">
        <v>43881</v>
      </c>
      <c r="C326" s="47">
        <v>3373.23</v>
      </c>
      <c r="D326" s="81">
        <f t="shared" ref="D326:D389" si="10">C326/C325-1</f>
        <v>-3.8155427255142094E-3</v>
      </c>
      <c r="E326" s="40">
        <v>43881</v>
      </c>
      <c r="F326" s="24">
        <v>16.049999</v>
      </c>
      <c r="G326" s="81">
        <f t="shared" ref="G326:G389" si="11">F326/F325-1</f>
        <v>1.1979760403530992E-2</v>
      </c>
      <c r="L326" s="40">
        <v>43881</v>
      </c>
      <c r="M326" s="43">
        <v>-3.8154999999999999E-3</v>
      </c>
      <c r="N326" s="1">
        <v>1.1979760403530992E-2</v>
      </c>
    </row>
    <row r="327" spans="2:14">
      <c r="B327" s="40">
        <v>43882</v>
      </c>
      <c r="C327" s="47">
        <v>3337.75</v>
      </c>
      <c r="D327" s="81">
        <f t="shared" si="10"/>
        <v>-1.0518108756295885E-2</v>
      </c>
      <c r="E327" s="40">
        <v>43882</v>
      </c>
      <c r="F327" s="24">
        <v>17.989999999999998</v>
      </c>
      <c r="G327" s="81">
        <f t="shared" si="11"/>
        <v>0.12087234397958513</v>
      </c>
      <c r="L327" s="40">
        <v>43882</v>
      </c>
      <c r="M327" s="43">
        <v>-1.0518100000000001E-2</v>
      </c>
      <c r="N327" s="1">
        <v>0.12087234397958513</v>
      </c>
    </row>
    <row r="328" spans="2:14">
      <c r="B328" s="40">
        <v>43885</v>
      </c>
      <c r="C328" s="47">
        <v>3225.89</v>
      </c>
      <c r="D328" s="81">
        <f t="shared" si="10"/>
        <v>-3.3513594487304399E-2</v>
      </c>
      <c r="E328" s="40">
        <v>43885</v>
      </c>
      <c r="F328" s="24">
        <v>17.360001</v>
      </c>
      <c r="G328" s="81">
        <f t="shared" si="11"/>
        <v>-3.5019399666481266E-2</v>
      </c>
      <c r="L328" s="40">
        <v>43885</v>
      </c>
      <c r="M328" s="43">
        <v>-3.3513599999999998E-2</v>
      </c>
      <c r="N328" s="1">
        <v>-3.5019399666481266E-2</v>
      </c>
    </row>
    <row r="329" spans="2:14">
      <c r="B329" s="40">
        <v>43886</v>
      </c>
      <c r="C329" s="47">
        <v>3128.21</v>
      </c>
      <c r="D329" s="81">
        <f t="shared" si="10"/>
        <v>-3.0280015747592093E-2</v>
      </c>
      <c r="E329" s="40">
        <v>43886</v>
      </c>
      <c r="F329" s="24">
        <v>16.75</v>
      </c>
      <c r="G329" s="81">
        <f t="shared" si="11"/>
        <v>-3.5138304427517086E-2</v>
      </c>
      <c r="L329" s="40">
        <v>43886</v>
      </c>
      <c r="M329" s="43">
        <v>-3.0280000000000001E-2</v>
      </c>
      <c r="N329" s="1">
        <v>-3.5138304427517086E-2</v>
      </c>
    </row>
    <row r="330" spans="2:14">
      <c r="B330" s="40">
        <v>43887</v>
      </c>
      <c r="C330" s="47">
        <v>3116.39</v>
      </c>
      <c r="D330" s="81">
        <f t="shared" si="10"/>
        <v>-3.7785187055856539E-3</v>
      </c>
      <c r="E330" s="40">
        <v>43887</v>
      </c>
      <c r="F330" s="24">
        <v>16.110001</v>
      </c>
      <c r="G330" s="81">
        <f t="shared" si="11"/>
        <v>-3.8208895522388042E-2</v>
      </c>
      <c r="L330" s="40">
        <v>43887</v>
      </c>
      <c r="M330" s="43">
        <v>-3.7785000000000002E-3</v>
      </c>
      <c r="N330" s="1">
        <v>-3.8208895522388042E-2</v>
      </c>
    </row>
    <row r="331" spans="2:14">
      <c r="B331" s="40">
        <v>43888</v>
      </c>
      <c r="C331" s="47">
        <v>2978.76</v>
      </c>
      <c r="D331" s="81">
        <f t="shared" si="10"/>
        <v>-4.4163278665378725E-2</v>
      </c>
      <c r="E331" s="40">
        <v>43888</v>
      </c>
      <c r="F331" s="24">
        <v>16.450001</v>
      </c>
      <c r="G331" s="81">
        <f t="shared" si="11"/>
        <v>2.1104902476418275E-2</v>
      </c>
      <c r="L331" s="40">
        <v>43888</v>
      </c>
      <c r="M331" s="43">
        <v>-4.4163300000000003E-2</v>
      </c>
      <c r="N331" s="1">
        <v>2.1104902476418275E-2</v>
      </c>
    </row>
    <row r="332" spans="2:14">
      <c r="B332" s="40">
        <v>43889</v>
      </c>
      <c r="C332" s="47">
        <v>2954.22</v>
      </c>
      <c r="D332" s="81">
        <f t="shared" si="10"/>
        <v>-8.2383273576925875E-3</v>
      </c>
      <c r="E332" s="40">
        <v>43889</v>
      </c>
      <c r="F332" s="24">
        <v>15.98</v>
      </c>
      <c r="G332" s="81">
        <f t="shared" si="11"/>
        <v>-2.8571487624833525E-2</v>
      </c>
      <c r="L332" s="40">
        <v>43889</v>
      </c>
      <c r="M332" s="43">
        <v>-8.2383000000000005E-3</v>
      </c>
      <c r="N332" s="1">
        <v>-2.8571487624833525E-2</v>
      </c>
    </row>
    <row r="333" spans="2:14">
      <c r="B333" s="40">
        <v>43892</v>
      </c>
      <c r="C333" s="47">
        <v>3090.23</v>
      </c>
      <c r="D333" s="81">
        <f t="shared" si="10"/>
        <v>4.6039225243888371E-2</v>
      </c>
      <c r="E333" s="40">
        <v>43892</v>
      </c>
      <c r="F333" s="24">
        <v>16.620000999999998</v>
      </c>
      <c r="G333" s="81">
        <f t="shared" si="11"/>
        <v>4.0050125156445349E-2</v>
      </c>
      <c r="L333" s="40">
        <v>43892</v>
      </c>
      <c r="M333" s="43">
        <v>4.6039200000000002E-2</v>
      </c>
      <c r="N333" s="1">
        <v>4.0050125156445349E-2</v>
      </c>
    </row>
    <row r="334" spans="2:14">
      <c r="B334" s="40">
        <v>43893</v>
      </c>
      <c r="C334" s="47">
        <v>3003.37</v>
      </c>
      <c r="D334" s="81">
        <f t="shared" si="10"/>
        <v>-2.8107940185681968E-2</v>
      </c>
      <c r="E334" s="40">
        <v>43893</v>
      </c>
      <c r="F334" s="24">
        <v>16.450001</v>
      </c>
      <c r="G334" s="81">
        <f t="shared" si="11"/>
        <v>-1.0228639577097409E-2</v>
      </c>
      <c r="L334" s="40">
        <v>43893</v>
      </c>
      <c r="M334" s="43">
        <v>-2.8107900000000002E-2</v>
      </c>
      <c r="N334" s="1">
        <v>-1.0228639577097409E-2</v>
      </c>
    </row>
    <row r="335" spans="2:14">
      <c r="B335" s="40">
        <v>43894</v>
      </c>
      <c r="C335" s="47">
        <v>3130.12</v>
      </c>
      <c r="D335" s="81">
        <f t="shared" si="10"/>
        <v>4.2202592421180185E-2</v>
      </c>
      <c r="E335" s="40">
        <v>43894</v>
      </c>
      <c r="F335" s="24">
        <v>16.82</v>
      </c>
      <c r="G335" s="81">
        <f t="shared" si="11"/>
        <v>2.2492339058216571E-2</v>
      </c>
      <c r="L335" s="40">
        <v>43894</v>
      </c>
      <c r="M335" s="43">
        <v>4.22026E-2</v>
      </c>
      <c r="N335" s="1">
        <v>2.2492339058216571E-2</v>
      </c>
    </row>
    <row r="336" spans="2:14">
      <c r="B336" s="40">
        <v>43895</v>
      </c>
      <c r="C336" s="47">
        <v>3023.94</v>
      </c>
      <c r="D336" s="81">
        <f t="shared" si="10"/>
        <v>-3.3922022158894838E-2</v>
      </c>
      <c r="E336" s="40">
        <v>43895</v>
      </c>
      <c r="F336" s="24">
        <v>17.25</v>
      </c>
      <c r="G336" s="81">
        <f t="shared" si="11"/>
        <v>2.5564803804994041E-2</v>
      </c>
      <c r="L336" s="40">
        <v>43895</v>
      </c>
      <c r="M336" s="43">
        <v>-3.3922000000000001E-2</v>
      </c>
      <c r="N336" s="1">
        <v>2.5564803804994041E-2</v>
      </c>
    </row>
    <row r="337" spans="2:14">
      <c r="B337" s="40">
        <v>43896</v>
      </c>
      <c r="C337" s="47">
        <v>2972.37</v>
      </c>
      <c r="D337" s="81">
        <f t="shared" si="10"/>
        <v>-1.7053909799797706E-2</v>
      </c>
      <c r="E337" s="40">
        <v>43896</v>
      </c>
      <c r="F337" s="24">
        <v>17.23</v>
      </c>
      <c r="G337" s="81">
        <f t="shared" si="11"/>
        <v>-1.159420289855051E-3</v>
      </c>
      <c r="L337" s="40">
        <v>43896</v>
      </c>
      <c r="M337" s="43">
        <v>-1.70539E-2</v>
      </c>
      <c r="N337" s="1">
        <v>-1.159420289855051E-3</v>
      </c>
    </row>
    <row r="338" spans="2:14">
      <c r="B338" s="40">
        <v>43899</v>
      </c>
      <c r="C338" s="47">
        <v>2746.56</v>
      </c>
      <c r="D338" s="81">
        <f t="shared" si="10"/>
        <v>-7.5969680759797709E-2</v>
      </c>
      <c r="E338" s="40">
        <v>43899</v>
      </c>
      <c r="F338" s="24">
        <v>16.469999000000001</v>
      </c>
      <c r="G338" s="81">
        <f t="shared" si="11"/>
        <v>-4.410917005223447E-2</v>
      </c>
      <c r="L338" s="40">
        <v>43899</v>
      </c>
      <c r="M338" s="43">
        <v>-7.5969700000000001E-2</v>
      </c>
      <c r="N338" s="1">
        <v>-4.410917005223447E-2</v>
      </c>
    </row>
    <row r="339" spans="2:14">
      <c r="B339" s="40">
        <v>43900</v>
      </c>
      <c r="C339" s="47">
        <v>2882.23</v>
      </c>
      <c r="D339" s="81">
        <f t="shared" si="10"/>
        <v>4.9396335780030221E-2</v>
      </c>
      <c r="E339" s="40">
        <v>43900</v>
      </c>
      <c r="F339" s="24">
        <v>16.719999000000001</v>
      </c>
      <c r="G339" s="81">
        <f t="shared" si="11"/>
        <v>1.5179114461391308E-2</v>
      </c>
      <c r="L339" s="40">
        <v>43900</v>
      </c>
      <c r="M339" s="43">
        <v>4.9396299999999997E-2</v>
      </c>
      <c r="N339" s="1">
        <v>1.5179114461391308E-2</v>
      </c>
    </row>
    <row r="340" spans="2:14">
      <c r="B340" s="40">
        <v>43901</v>
      </c>
      <c r="C340" s="47">
        <v>2741.38</v>
      </c>
      <c r="D340" s="81">
        <f t="shared" si="10"/>
        <v>-4.8868410917935035E-2</v>
      </c>
      <c r="E340" s="40">
        <v>43901</v>
      </c>
      <c r="F340" s="24">
        <v>16.07</v>
      </c>
      <c r="G340" s="81">
        <f t="shared" si="11"/>
        <v>-3.8875540602604119E-2</v>
      </c>
      <c r="L340" s="40">
        <v>43901</v>
      </c>
      <c r="M340" s="43">
        <v>-4.8868399999999999E-2</v>
      </c>
      <c r="N340" s="1">
        <v>-3.8875540602604119E-2</v>
      </c>
    </row>
    <row r="341" spans="2:14">
      <c r="B341" s="40">
        <v>43902</v>
      </c>
      <c r="C341" s="47">
        <v>2480.64</v>
      </c>
      <c r="D341" s="81">
        <f t="shared" si="10"/>
        <v>-9.5112680474797484E-2</v>
      </c>
      <c r="E341" s="40">
        <v>43902</v>
      </c>
      <c r="F341" s="24">
        <v>13.32</v>
      </c>
      <c r="G341" s="81">
        <f t="shared" si="11"/>
        <v>-0.17112632233976355</v>
      </c>
      <c r="L341" s="40">
        <v>43902</v>
      </c>
      <c r="M341" s="43">
        <v>-9.5112699999999994E-2</v>
      </c>
      <c r="N341" s="1">
        <v>-0.17112632233976355</v>
      </c>
    </row>
    <row r="342" spans="2:14">
      <c r="B342" s="40">
        <v>43903</v>
      </c>
      <c r="C342" s="47">
        <v>2711.02</v>
      </c>
      <c r="D342" s="81">
        <f t="shared" si="10"/>
        <v>9.2871194530443901E-2</v>
      </c>
      <c r="E342" s="40">
        <v>43903</v>
      </c>
      <c r="F342" s="24">
        <v>14.55</v>
      </c>
      <c r="G342" s="81">
        <f t="shared" si="11"/>
        <v>9.2342342342342398E-2</v>
      </c>
      <c r="L342" s="40">
        <v>43903</v>
      </c>
      <c r="M342" s="43">
        <v>9.2871200000000001E-2</v>
      </c>
      <c r="N342" s="1">
        <v>9.2342342342342398E-2</v>
      </c>
    </row>
    <row r="343" spans="2:14">
      <c r="B343" s="40">
        <v>43906</v>
      </c>
      <c r="C343" s="47">
        <v>2386.13</v>
      </c>
      <c r="D343" s="81">
        <f t="shared" si="10"/>
        <v>-0.11984050283657066</v>
      </c>
      <c r="E343" s="40">
        <v>43906</v>
      </c>
      <c r="F343" s="24">
        <v>16.360001</v>
      </c>
      <c r="G343" s="81">
        <f t="shared" si="11"/>
        <v>0.12439869415807547</v>
      </c>
      <c r="L343" s="40">
        <v>43906</v>
      </c>
      <c r="M343" s="43">
        <v>-0.1198405</v>
      </c>
      <c r="N343" s="1">
        <v>0.12439869415807547</v>
      </c>
    </row>
    <row r="344" spans="2:14">
      <c r="B344" s="40">
        <v>43907</v>
      </c>
      <c r="C344" s="47">
        <v>2529.19</v>
      </c>
      <c r="D344" s="81">
        <f t="shared" si="10"/>
        <v>5.9954822243549089E-2</v>
      </c>
      <c r="E344" s="40">
        <v>43907</v>
      </c>
      <c r="F344" s="24">
        <v>18.93</v>
      </c>
      <c r="G344" s="81">
        <f t="shared" si="11"/>
        <v>0.15709039382088053</v>
      </c>
      <c r="L344" s="40">
        <v>43907</v>
      </c>
      <c r="M344" s="43">
        <v>5.9954800000000003E-2</v>
      </c>
      <c r="N344" s="1">
        <v>0.15709039382088053</v>
      </c>
    </row>
    <row r="345" spans="2:14">
      <c r="B345" s="40">
        <v>43908</v>
      </c>
      <c r="C345" s="47">
        <v>2398.1</v>
      </c>
      <c r="D345" s="81">
        <f t="shared" si="10"/>
        <v>-5.1830823307066787E-2</v>
      </c>
      <c r="E345" s="40">
        <v>43908</v>
      </c>
      <c r="F345" s="24">
        <v>17.690000999999999</v>
      </c>
      <c r="G345" s="81">
        <f t="shared" si="11"/>
        <v>-6.550443740095091E-2</v>
      </c>
      <c r="L345" s="40">
        <v>43908</v>
      </c>
      <c r="M345" s="43">
        <v>-5.1830800000000003E-2</v>
      </c>
      <c r="N345" s="1">
        <v>-6.550443740095091E-2</v>
      </c>
    </row>
    <row r="346" spans="2:14">
      <c r="B346" s="40">
        <v>43909</v>
      </c>
      <c r="C346" s="47">
        <v>2409.39</v>
      </c>
      <c r="D346" s="81">
        <f t="shared" si="10"/>
        <v>4.707893749218206E-3</v>
      </c>
      <c r="E346" s="40">
        <v>43909</v>
      </c>
      <c r="F346" s="24">
        <v>17.620000999999998</v>
      </c>
      <c r="G346" s="81">
        <f t="shared" si="11"/>
        <v>-3.9570376508175631E-3</v>
      </c>
      <c r="L346" s="40">
        <v>43909</v>
      </c>
      <c r="M346" s="43">
        <v>4.7079000000000001E-3</v>
      </c>
      <c r="N346" s="1">
        <v>-3.9570376508175631E-3</v>
      </c>
    </row>
    <row r="347" spans="2:14">
      <c r="B347" s="40">
        <v>43910</v>
      </c>
      <c r="C347" s="47">
        <v>2304.92</v>
      </c>
      <c r="D347" s="81">
        <f t="shared" si="10"/>
        <v>-4.3359522534749395E-2</v>
      </c>
      <c r="E347" s="40">
        <v>43910</v>
      </c>
      <c r="F347" s="24">
        <v>17.600000000000001</v>
      </c>
      <c r="G347" s="81">
        <f t="shared" si="11"/>
        <v>-1.1351304690616626E-3</v>
      </c>
      <c r="L347" s="40">
        <v>43910</v>
      </c>
      <c r="M347" s="43">
        <v>-4.3359500000000002E-2</v>
      </c>
      <c r="N347" s="1">
        <v>-1.1351304690616626E-3</v>
      </c>
    </row>
    <row r="348" spans="2:14">
      <c r="B348" s="40">
        <v>43913</v>
      </c>
      <c r="C348" s="47">
        <v>2237.4</v>
      </c>
      <c r="D348" s="81">
        <f t="shared" si="10"/>
        <v>-2.9293858355170621E-2</v>
      </c>
      <c r="E348" s="40">
        <v>43913</v>
      </c>
      <c r="F348" s="24">
        <v>16.579999999999998</v>
      </c>
      <c r="G348" s="81">
        <f t="shared" si="11"/>
        <v>-5.7954545454545592E-2</v>
      </c>
      <c r="L348" s="40">
        <v>43913</v>
      </c>
      <c r="M348" s="43">
        <v>-2.9293900000000001E-2</v>
      </c>
      <c r="N348" s="1">
        <v>-5.7954545454545592E-2</v>
      </c>
    </row>
    <row r="349" spans="2:14">
      <c r="B349" s="40">
        <v>43914</v>
      </c>
      <c r="C349" s="47">
        <v>2447.33</v>
      </c>
      <c r="D349" s="81">
        <f t="shared" si="10"/>
        <v>9.3827657101993367E-2</v>
      </c>
      <c r="E349" s="40">
        <v>43914</v>
      </c>
      <c r="F349" s="24">
        <v>17.59</v>
      </c>
      <c r="G349" s="81">
        <f t="shared" si="11"/>
        <v>6.0916767189384879E-2</v>
      </c>
      <c r="L349" s="40">
        <v>43914</v>
      </c>
      <c r="M349" s="43">
        <v>9.38277E-2</v>
      </c>
      <c r="N349" s="1">
        <v>6.0916767189384879E-2</v>
      </c>
    </row>
    <row r="350" spans="2:14">
      <c r="B350" s="40">
        <v>43915</v>
      </c>
      <c r="C350" s="47">
        <v>2475.56</v>
      </c>
      <c r="D350" s="81">
        <f t="shared" si="10"/>
        <v>1.1535019797084933E-2</v>
      </c>
      <c r="E350" s="40">
        <v>43915</v>
      </c>
      <c r="F350" s="24">
        <v>17.139999</v>
      </c>
      <c r="G350" s="81">
        <f t="shared" si="11"/>
        <v>-2.5582774303581579E-2</v>
      </c>
      <c r="L350" s="40">
        <v>43915</v>
      </c>
      <c r="M350" s="43">
        <v>1.1535E-2</v>
      </c>
      <c r="N350" s="1">
        <v>-2.5582774303581579E-2</v>
      </c>
    </row>
    <row r="351" spans="2:14">
      <c r="B351" s="40">
        <v>43916</v>
      </c>
      <c r="C351" s="47">
        <v>2630.07</v>
      </c>
      <c r="D351" s="81">
        <f t="shared" si="10"/>
        <v>6.2414160836336219E-2</v>
      </c>
      <c r="E351" s="40">
        <v>43916</v>
      </c>
      <c r="F351" s="24">
        <v>18.370000999999998</v>
      </c>
      <c r="G351" s="81">
        <f t="shared" si="11"/>
        <v>7.1762081199654659E-2</v>
      </c>
      <c r="L351" s="40">
        <v>43916</v>
      </c>
      <c r="M351" s="43">
        <v>6.2414200000000003E-2</v>
      </c>
      <c r="N351" s="1">
        <v>7.1762081199654659E-2</v>
      </c>
    </row>
    <row r="352" spans="2:14">
      <c r="B352" s="40">
        <v>43917</v>
      </c>
      <c r="C352" s="47">
        <v>2541.4699999999998</v>
      </c>
      <c r="D352" s="81">
        <f t="shared" si="10"/>
        <v>-3.36873163071707E-2</v>
      </c>
      <c r="E352" s="40">
        <v>43917</v>
      </c>
      <c r="F352" s="24">
        <v>17.969999000000001</v>
      </c>
      <c r="G352" s="81">
        <f t="shared" si="11"/>
        <v>-2.1774740240895873E-2</v>
      </c>
      <c r="L352" s="40">
        <v>43917</v>
      </c>
      <c r="M352" s="43">
        <v>-3.3687300000000003E-2</v>
      </c>
      <c r="N352" s="1">
        <v>-2.1774740240895873E-2</v>
      </c>
    </row>
    <row r="353" spans="2:14">
      <c r="B353" s="40">
        <v>43920</v>
      </c>
      <c r="C353" s="47">
        <v>2626.65</v>
      </c>
      <c r="D353" s="81">
        <f t="shared" si="10"/>
        <v>3.3516035994916482E-2</v>
      </c>
      <c r="E353" s="40">
        <v>43920</v>
      </c>
      <c r="F353" s="24">
        <v>18.600000000000001</v>
      </c>
      <c r="G353" s="81">
        <f t="shared" si="11"/>
        <v>3.5058488317111225E-2</v>
      </c>
      <c r="L353" s="40">
        <v>43920</v>
      </c>
      <c r="M353" s="43">
        <v>3.3515999999999997E-2</v>
      </c>
      <c r="N353" s="1">
        <v>3.5058488317111225E-2</v>
      </c>
    </row>
    <row r="354" spans="2:14">
      <c r="B354" s="40">
        <v>43921</v>
      </c>
      <c r="C354" s="47">
        <v>2584.59</v>
      </c>
      <c r="D354" s="81">
        <f t="shared" si="10"/>
        <v>-1.60127919593398E-2</v>
      </c>
      <c r="E354" s="40">
        <v>43921</v>
      </c>
      <c r="F354" s="24">
        <v>18.59</v>
      </c>
      <c r="G354" s="81">
        <f t="shared" si="11"/>
        <v>-5.3763440860221667E-4</v>
      </c>
      <c r="L354" s="40">
        <v>43921</v>
      </c>
      <c r="M354" s="43">
        <v>-1.6012800000000001E-2</v>
      </c>
      <c r="N354" s="1">
        <v>-5.3763440860221667E-4</v>
      </c>
    </row>
    <row r="355" spans="2:14">
      <c r="B355" s="40">
        <v>43922</v>
      </c>
      <c r="C355" s="47">
        <v>2470.5</v>
      </c>
      <c r="D355" s="81">
        <f t="shared" si="10"/>
        <v>-4.4142397827121593E-2</v>
      </c>
      <c r="E355" s="40">
        <v>43922</v>
      </c>
      <c r="F355" s="24">
        <v>18.68</v>
      </c>
      <c r="G355" s="81">
        <f t="shared" si="11"/>
        <v>4.8413125336201901E-3</v>
      </c>
      <c r="L355" s="40">
        <v>43922</v>
      </c>
      <c r="M355" s="43">
        <v>-4.4142399999999998E-2</v>
      </c>
      <c r="N355" s="1">
        <v>4.8413125336201901E-3</v>
      </c>
    </row>
    <row r="356" spans="2:14">
      <c r="B356" s="40">
        <v>43923</v>
      </c>
      <c r="C356" s="47">
        <v>2526.9</v>
      </c>
      <c r="D356" s="81">
        <f t="shared" si="10"/>
        <v>2.2829386763812964E-2</v>
      </c>
      <c r="E356" s="40">
        <v>43923</v>
      </c>
      <c r="F356" s="24">
        <v>18.969999000000001</v>
      </c>
      <c r="G356" s="81">
        <f t="shared" si="11"/>
        <v>1.5524571734475412E-2</v>
      </c>
      <c r="L356" s="40">
        <v>43923</v>
      </c>
      <c r="M356" s="43">
        <v>2.28294E-2</v>
      </c>
      <c r="N356" s="1">
        <v>1.5524571734475412E-2</v>
      </c>
    </row>
    <row r="357" spans="2:14">
      <c r="B357" s="40">
        <v>43924</v>
      </c>
      <c r="C357" s="47">
        <v>2488.65</v>
      </c>
      <c r="D357" s="81">
        <f t="shared" si="10"/>
        <v>-1.5137124539950086E-2</v>
      </c>
      <c r="E357" s="40">
        <v>43924</v>
      </c>
      <c r="F357" s="24">
        <v>19.02</v>
      </c>
      <c r="G357" s="81">
        <f t="shared" si="11"/>
        <v>2.6357934968788133E-3</v>
      </c>
      <c r="L357" s="40">
        <v>43924</v>
      </c>
      <c r="M357" s="43">
        <v>-1.5137100000000001E-2</v>
      </c>
      <c r="N357" s="1">
        <v>2.6357934968788133E-3</v>
      </c>
    </row>
    <row r="358" spans="2:14">
      <c r="B358" s="40">
        <v>43927</v>
      </c>
      <c r="C358" s="47">
        <v>2663.68</v>
      </c>
      <c r="D358" s="81">
        <f t="shared" si="10"/>
        <v>7.0331304120707872E-2</v>
      </c>
      <c r="E358" s="40">
        <v>43927</v>
      </c>
      <c r="F358" s="24">
        <v>19.389999</v>
      </c>
      <c r="G358" s="81">
        <f t="shared" si="11"/>
        <v>1.9453154574132547E-2</v>
      </c>
      <c r="L358" s="40">
        <v>43927</v>
      </c>
      <c r="M358" s="43">
        <v>7.0331299999999999E-2</v>
      </c>
      <c r="N358" s="1">
        <v>1.9453154574132547E-2</v>
      </c>
    </row>
    <row r="359" spans="2:14">
      <c r="B359" s="40">
        <v>43928</v>
      </c>
      <c r="C359" s="47">
        <v>2659.41</v>
      </c>
      <c r="D359" s="81">
        <f t="shared" si="10"/>
        <v>-1.6030454108602044E-3</v>
      </c>
      <c r="E359" s="40">
        <v>43928</v>
      </c>
      <c r="F359" s="24">
        <v>19.260000000000002</v>
      </c>
      <c r="G359" s="81">
        <f t="shared" si="11"/>
        <v>-6.7044356216829915E-3</v>
      </c>
      <c r="L359" s="40">
        <v>43928</v>
      </c>
      <c r="M359" s="43">
        <v>-1.603E-3</v>
      </c>
      <c r="N359" s="1">
        <v>-6.7044356216829915E-3</v>
      </c>
    </row>
    <row r="360" spans="2:14">
      <c r="B360" s="40">
        <v>43929</v>
      </c>
      <c r="C360" s="47">
        <v>2749.98</v>
      </c>
      <c r="D360" s="81">
        <f t="shared" si="10"/>
        <v>3.4056426049386967E-2</v>
      </c>
      <c r="E360" s="40">
        <v>43929</v>
      </c>
      <c r="F360" s="24">
        <v>19.23</v>
      </c>
      <c r="G360" s="81">
        <f t="shared" si="11"/>
        <v>-1.5576323987539498E-3</v>
      </c>
      <c r="L360" s="40">
        <v>43929</v>
      </c>
      <c r="M360" s="43">
        <v>3.4056400000000001E-2</v>
      </c>
      <c r="N360" s="1">
        <v>-1.5576323987539498E-3</v>
      </c>
    </row>
    <row r="361" spans="2:14">
      <c r="B361" s="40">
        <v>43930</v>
      </c>
      <c r="C361" s="47">
        <v>2789.82</v>
      </c>
      <c r="D361" s="81">
        <f t="shared" si="10"/>
        <v>1.448737809002254E-2</v>
      </c>
      <c r="E361" s="40">
        <v>43930</v>
      </c>
      <c r="F361" s="24">
        <v>19</v>
      </c>
      <c r="G361" s="81">
        <f t="shared" si="11"/>
        <v>-1.1960478419136833E-2</v>
      </c>
      <c r="L361" s="40">
        <v>43930</v>
      </c>
      <c r="M361" s="43">
        <v>1.4487399999999999E-2</v>
      </c>
      <c r="N361" s="1">
        <v>-1.1960478419136833E-2</v>
      </c>
    </row>
    <row r="362" spans="2:14">
      <c r="B362" s="40">
        <v>43934</v>
      </c>
      <c r="C362" s="47">
        <v>2761.63</v>
      </c>
      <c r="D362" s="81">
        <f t="shared" si="10"/>
        <v>-1.0104594561656355E-2</v>
      </c>
      <c r="E362" s="40">
        <v>43934</v>
      </c>
      <c r="F362" s="24">
        <v>18.809999000000001</v>
      </c>
      <c r="G362" s="81">
        <f t="shared" si="11"/>
        <v>-1.0000052631578882E-2</v>
      </c>
      <c r="L362" s="40">
        <v>43934</v>
      </c>
      <c r="M362" s="43">
        <v>-1.01046E-2</v>
      </c>
      <c r="N362" s="1">
        <v>-1.0000052631578882E-2</v>
      </c>
    </row>
    <row r="363" spans="2:14">
      <c r="B363" s="40">
        <v>43935</v>
      </c>
      <c r="C363" s="47">
        <v>2846.06</v>
      </c>
      <c r="D363" s="81">
        <f t="shared" si="10"/>
        <v>3.0572524197665762E-2</v>
      </c>
      <c r="E363" s="40">
        <v>43935</v>
      </c>
      <c r="F363" s="24">
        <v>19.07</v>
      </c>
      <c r="G363" s="81">
        <f t="shared" si="11"/>
        <v>1.3822488773125308E-2</v>
      </c>
      <c r="L363" s="40">
        <v>43935</v>
      </c>
      <c r="M363" s="43">
        <v>3.0572499999999999E-2</v>
      </c>
      <c r="N363" s="1">
        <v>1.3822488773125308E-2</v>
      </c>
    </row>
    <row r="364" spans="2:14">
      <c r="B364" s="40">
        <v>43936</v>
      </c>
      <c r="C364" s="47">
        <v>2783.36</v>
      </c>
      <c r="D364" s="81">
        <f t="shared" si="10"/>
        <v>-2.2030456139364496E-2</v>
      </c>
      <c r="E364" s="40">
        <v>43936</v>
      </c>
      <c r="F364" s="24">
        <v>18.98</v>
      </c>
      <c r="G364" s="81">
        <f t="shared" si="11"/>
        <v>-4.7194546407970384E-3</v>
      </c>
      <c r="L364" s="40">
        <v>43936</v>
      </c>
      <c r="M364" s="43">
        <v>-2.2030500000000001E-2</v>
      </c>
      <c r="N364" s="1">
        <v>-4.7194546407970384E-3</v>
      </c>
    </row>
    <row r="365" spans="2:14">
      <c r="B365" s="40">
        <v>43937</v>
      </c>
      <c r="C365" s="47">
        <v>2799.55</v>
      </c>
      <c r="D365" s="81">
        <f t="shared" si="10"/>
        <v>5.8167107381006389E-3</v>
      </c>
      <c r="E365" s="40">
        <v>43937</v>
      </c>
      <c r="F365" s="24">
        <v>20.350000000000001</v>
      </c>
      <c r="G365" s="81">
        <f t="shared" si="11"/>
        <v>7.2181243414120244E-2</v>
      </c>
      <c r="L365" s="40">
        <v>43937</v>
      </c>
      <c r="M365" s="43">
        <v>5.8167000000000002E-3</v>
      </c>
      <c r="N365" s="1">
        <v>7.2181243414120244E-2</v>
      </c>
    </row>
    <row r="366" spans="2:14">
      <c r="B366" s="40">
        <v>43938</v>
      </c>
      <c r="C366" s="47">
        <v>2874.56</v>
      </c>
      <c r="D366" s="81">
        <f t="shared" si="10"/>
        <v>2.6793591827257934E-2</v>
      </c>
      <c r="E366" s="40">
        <v>43938</v>
      </c>
      <c r="F366" s="24">
        <v>20.440000999999999</v>
      </c>
      <c r="G366" s="81">
        <f t="shared" si="11"/>
        <v>4.422653562653478E-3</v>
      </c>
      <c r="L366" s="40">
        <v>43938</v>
      </c>
      <c r="M366" s="43">
        <v>2.6793600000000001E-2</v>
      </c>
      <c r="N366" s="1">
        <v>4.422653562653478E-3</v>
      </c>
    </row>
    <row r="367" spans="2:14">
      <c r="B367" s="40">
        <v>43941</v>
      </c>
      <c r="C367" s="47">
        <v>2823.16</v>
      </c>
      <c r="D367" s="81">
        <f t="shared" si="10"/>
        <v>-1.7880997439608137E-2</v>
      </c>
      <c r="E367" s="40">
        <v>43941</v>
      </c>
      <c r="F367" s="24">
        <v>20.059999000000001</v>
      </c>
      <c r="G367" s="81">
        <f t="shared" si="11"/>
        <v>-1.8591094980866085E-2</v>
      </c>
      <c r="L367" s="40">
        <v>43941</v>
      </c>
      <c r="M367" s="43">
        <v>-1.7881000000000001E-2</v>
      </c>
      <c r="N367" s="1">
        <v>-1.8591094980866085E-2</v>
      </c>
    </row>
    <row r="368" spans="2:14">
      <c r="B368" s="40">
        <v>43942</v>
      </c>
      <c r="C368" s="47">
        <v>2736.56</v>
      </c>
      <c r="D368" s="81">
        <f t="shared" si="10"/>
        <v>-3.0674846625766805E-2</v>
      </c>
      <c r="E368" s="40">
        <v>43942</v>
      </c>
      <c r="F368" s="24">
        <v>20.469999000000001</v>
      </c>
      <c r="G368" s="81">
        <f t="shared" si="11"/>
        <v>2.0438684967033049E-2</v>
      </c>
      <c r="L368" s="40">
        <v>43942</v>
      </c>
      <c r="M368" s="43">
        <v>-3.0674799999999999E-2</v>
      </c>
      <c r="N368" s="1">
        <v>2.0438684967033049E-2</v>
      </c>
    </row>
    <row r="369" spans="2:14">
      <c r="B369" s="40">
        <v>43943</v>
      </c>
      <c r="C369" s="47">
        <v>2799.31</v>
      </c>
      <c r="D369" s="81">
        <f t="shared" si="10"/>
        <v>2.2930248194813929E-2</v>
      </c>
      <c r="E369" s="40">
        <v>43943</v>
      </c>
      <c r="F369" s="24">
        <v>20.92</v>
      </c>
      <c r="G369" s="81">
        <f t="shared" si="11"/>
        <v>2.1983440253221298E-2</v>
      </c>
      <c r="L369" s="40">
        <v>43943</v>
      </c>
      <c r="M369" s="43">
        <v>2.2930200000000001E-2</v>
      </c>
      <c r="N369" s="1">
        <v>2.1983440253221298E-2</v>
      </c>
    </row>
    <row r="370" spans="2:14">
      <c r="B370" s="40">
        <v>43944</v>
      </c>
      <c r="C370" s="47">
        <v>2797.8</v>
      </c>
      <c r="D370" s="81">
        <f t="shared" si="10"/>
        <v>-5.3941864245110605E-4</v>
      </c>
      <c r="E370" s="40">
        <v>43944</v>
      </c>
      <c r="F370" s="24">
        <v>21.4</v>
      </c>
      <c r="G370" s="81">
        <f t="shared" si="11"/>
        <v>2.2944550669215857E-2</v>
      </c>
      <c r="L370" s="40">
        <v>43944</v>
      </c>
      <c r="M370" s="43">
        <v>-5.3939999999999999E-4</v>
      </c>
      <c r="N370" s="1">
        <v>2.2944550669215857E-2</v>
      </c>
    </row>
    <row r="371" spans="2:14">
      <c r="B371" s="40">
        <v>43945</v>
      </c>
      <c r="C371" s="47">
        <v>2836.74</v>
      </c>
      <c r="D371" s="81">
        <f t="shared" si="10"/>
        <v>1.3918078490242181E-2</v>
      </c>
      <c r="E371" s="40">
        <v>43945</v>
      </c>
      <c r="F371" s="24">
        <v>21.690000999999999</v>
      </c>
      <c r="G371" s="81">
        <f t="shared" si="11"/>
        <v>1.3551448598130955E-2</v>
      </c>
      <c r="L371" s="40">
        <v>43945</v>
      </c>
      <c r="M371" s="43">
        <v>1.3918099999999999E-2</v>
      </c>
      <c r="N371" s="1">
        <v>1.3551448598130955E-2</v>
      </c>
    </row>
    <row r="372" spans="2:14">
      <c r="B372" s="40">
        <v>43948</v>
      </c>
      <c r="C372" s="47">
        <v>2878.48</v>
      </c>
      <c r="D372" s="81">
        <f t="shared" si="10"/>
        <v>1.4714073196697708E-2</v>
      </c>
      <c r="E372" s="40">
        <v>43948</v>
      </c>
      <c r="F372" s="24">
        <v>21.379999000000002</v>
      </c>
      <c r="G372" s="81">
        <f t="shared" si="11"/>
        <v>-1.4292392148806177E-2</v>
      </c>
      <c r="L372" s="40">
        <v>43948</v>
      </c>
      <c r="M372" s="43">
        <v>1.4714100000000001E-2</v>
      </c>
      <c r="N372" s="1">
        <v>-1.4292392148806177E-2</v>
      </c>
    </row>
    <row r="373" spans="2:14">
      <c r="B373" s="40">
        <v>43949</v>
      </c>
      <c r="C373" s="47">
        <v>2863.39</v>
      </c>
      <c r="D373" s="81">
        <f t="shared" si="10"/>
        <v>-5.2423501292349073E-3</v>
      </c>
      <c r="E373" s="40">
        <v>43949</v>
      </c>
      <c r="F373" s="24">
        <v>21.27</v>
      </c>
      <c r="G373" s="81">
        <f t="shared" si="11"/>
        <v>-5.1449487906899405E-3</v>
      </c>
      <c r="L373" s="40">
        <v>43949</v>
      </c>
      <c r="M373" s="43">
        <v>-5.2424000000000004E-3</v>
      </c>
      <c r="N373" s="1">
        <v>-5.1449487906899405E-3</v>
      </c>
    </row>
    <row r="374" spans="2:14">
      <c r="B374" s="40">
        <v>43950</v>
      </c>
      <c r="C374" s="47">
        <v>2939.51</v>
      </c>
      <c r="D374" s="81">
        <f t="shared" si="10"/>
        <v>2.6583874358714787E-2</v>
      </c>
      <c r="E374" s="40">
        <v>43950</v>
      </c>
      <c r="F374" s="24">
        <v>20.75</v>
      </c>
      <c r="G374" s="81">
        <f t="shared" si="11"/>
        <v>-2.444757874941228E-2</v>
      </c>
      <c r="L374" s="40">
        <v>43950</v>
      </c>
      <c r="M374" s="43">
        <v>2.6583900000000001E-2</v>
      </c>
      <c r="N374" s="1">
        <v>-2.444757874941228E-2</v>
      </c>
    </row>
    <row r="375" spans="2:14">
      <c r="B375" s="40">
        <v>43951</v>
      </c>
      <c r="C375" s="47">
        <v>2912.43</v>
      </c>
      <c r="D375" s="81">
        <f t="shared" si="10"/>
        <v>-9.2124197570344624E-3</v>
      </c>
      <c r="E375" s="40">
        <v>43951</v>
      </c>
      <c r="F375" s="24">
        <v>20.780000999999999</v>
      </c>
      <c r="G375" s="81">
        <f t="shared" si="11"/>
        <v>1.4458313253011834E-3</v>
      </c>
      <c r="L375" s="40">
        <v>43951</v>
      </c>
      <c r="M375" s="43">
        <v>-9.2124000000000008E-3</v>
      </c>
      <c r="N375" s="1">
        <v>1.4458313253011834E-3</v>
      </c>
    </row>
    <row r="376" spans="2:14">
      <c r="B376" s="40">
        <v>43952</v>
      </c>
      <c r="C376" s="47">
        <v>2830.71</v>
      </c>
      <c r="D376" s="81">
        <f t="shared" si="10"/>
        <v>-2.8059043479156554E-2</v>
      </c>
      <c r="E376" s="40">
        <v>43952</v>
      </c>
      <c r="F376" s="24">
        <v>21.030000999999999</v>
      </c>
      <c r="G376" s="81">
        <f t="shared" si="11"/>
        <v>1.2030798266082776E-2</v>
      </c>
      <c r="L376" s="40">
        <v>43952</v>
      </c>
      <c r="M376" s="43">
        <v>-2.8059000000000001E-2</v>
      </c>
      <c r="N376" s="1">
        <v>1.2030798266082776E-2</v>
      </c>
    </row>
    <row r="377" spans="2:14">
      <c r="B377" s="40">
        <v>43955</v>
      </c>
      <c r="C377" s="47">
        <v>2842.74</v>
      </c>
      <c r="D377" s="81">
        <f t="shared" si="10"/>
        <v>4.2498171836746756E-3</v>
      </c>
      <c r="E377" s="40">
        <v>43955</v>
      </c>
      <c r="F377" s="24">
        <v>21.76</v>
      </c>
      <c r="G377" s="81">
        <f t="shared" si="11"/>
        <v>3.4712266537695546E-2</v>
      </c>
      <c r="L377" s="40">
        <v>43955</v>
      </c>
      <c r="M377" s="43">
        <v>4.2497999999999998E-3</v>
      </c>
      <c r="N377" s="1">
        <v>3.4712266537695546E-2</v>
      </c>
    </row>
    <row r="378" spans="2:14">
      <c r="B378" s="40">
        <v>43956</v>
      </c>
      <c r="C378" s="47">
        <v>2868.44</v>
      </c>
      <c r="D378" s="81">
        <f t="shared" si="10"/>
        <v>9.0405735311707147E-3</v>
      </c>
      <c r="E378" s="40">
        <v>43956</v>
      </c>
      <c r="F378" s="24">
        <v>22.26</v>
      </c>
      <c r="G378" s="81">
        <f t="shared" si="11"/>
        <v>2.2977941176470562E-2</v>
      </c>
      <c r="L378" s="40">
        <v>43956</v>
      </c>
      <c r="M378" s="43">
        <v>9.0405999999999993E-3</v>
      </c>
      <c r="N378" s="1">
        <v>2.2977941176470562E-2</v>
      </c>
    </row>
    <row r="379" spans="2:14">
      <c r="B379" s="40">
        <v>43957</v>
      </c>
      <c r="C379" s="47">
        <v>2848.42</v>
      </c>
      <c r="D379" s="81">
        <f t="shared" si="10"/>
        <v>-6.9794034388029891E-3</v>
      </c>
      <c r="E379" s="40">
        <v>43957</v>
      </c>
      <c r="F379" s="24">
        <v>23.889999</v>
      </c>
      <c r="G379" s="81">
        <f t="shared" si="11"/>
        <v>7.3225471698113109E-2</v>
      </c>
      <c r="L379" s="40">
        <v>43957</v>
      </c>
      <c r="M379" s="43">
        <v>-6.9794000000000002E-3</v>
      </c>
      <c r="N379" s="1">
        <v>7.3225471698113109E-2</v>
      </c>
    </row>
    <row r="380" spans="2:14">
      <c r="B380" s="40">
        <v>43958</v>
      </c>
      <c r="C380" s="47">
        <v>2881.19</v>
      </c>
      <c r="D380" s="81">
        <f t="shared" si="10"/>
        <v>1.1504623615899323E-2</v>
      </c>
      <c r="E380" s="40">
        <v>43958</v>
      </c>
      <c r="F380" s="24">
        <v>24.24</v>
      </c>
      <c r="G380" s="81">
        <f t="shared" si="11"/>
        <v>1.4650523844726759E-2</v>
      </c>
      <c r="L380" s="40">
        <v>43958</v>
      </c>
      <c r="M380" s="43">
        <v>1.15046E-2</v>
      </c>
      <c r="N380" s="1">
        <v>1.4650523844726759E-2</v>
      </c>
    </row>
    <row r="381" spans="2:14">
      <c r="B381" s="40">
        <v>43959</v>
      </c>
      <c r="C381" s="47">
        <v>2929.8</v>
      </c>
      <c r="D381" s="81">
        <f t="shared" si="10"/>
        <v>1.6871501011734846E-2</v>
      </c>
      <c r="E381" s="40">
        <v>43959</v>
      </c>
      <c r="F381" s="24">
        <v>25.18</v>
      </c>
      <c r="G381" s="81">
        <f t="shared" si="11"/>
        <v>3.8778877887788887E-2</v>
      </c>
      <c r="L381" s="40">
        <v>43959</v>
      </c>
      <c r="M381" s="43">
        <v>1.6871500000000001E-2</v>
      </c>
      <c r="N381" s="1">
        <v>3.8778877887788887E-2</v>
      </c>
    </row>
    <row r="382" spans="2:14">
      <c r="B382" s="40">
        <v>43962</v>
      </c>
      <c r="C382" s="47">
        <v>2930.32</v>
      </c>
      <c r="D382" s="81">
        <f t="shared" si="10"/>
        <v>1.7748651785098879E-4</v>
      </c>
      <c r="E382" s="40">
        <v>43962</v>
      </c>
      <c r="F382" s="24">
        <v>26.52</v>
      </c>
      <c r="G382" s="81">
        <f t="shared" si="11"/>
        <v>5.3216838760921314E-2</v>
      </c>
      <c r="L382" s="40">
        <v>43962</v>
      </c>
      <c r="M382" s="43">
        <v>1.775E-4</v>
      </c>
      <c r="N382" s="1">
        <v>5.3216838760921314E-2</v>
      </c>
    </row>
    <row r="383" spans="2:14">
      <c r="B383" s="40">
        <v>43963</v>
      </c>
      <c r="C383" s="47">
        <v>2870.12</v>
      </c>
      <c r="D383" s="81">
        <f t="shared" si="10"/>
        <v>-2.054383139042848E-2</v>
      </c>
      <c r="E383" s="40">
        <v>43963</v>
      </c>
      <c r="F383" s="24">
        <v>25.58</v>
      </c>
      <c r="G383" s="81">
        <f t="shared" si="11"/>
        <v>-3.5444947209653188E-2</v>
      </c>
      <c r="L383" s="40">
        <v>43963</v>
      </c>
      <c r="M383" s="43">
        <v>-2.0543800000000001E-2</v>
      </c>
      <c r="N383" s="1">
        <v>-3.5444947209653188E-2</v>
      </c>
    </row>
    <row r="384" spans="2:14">
      <c r="B384" s="40">
        <v>43964</v>
      </c>
      <c r="C384" s="47">
        <v>2820</v>
      </c>
      <c r="D384" s="81">
        <f t="shared" si="10"/>
        <v>-1.7462684487059787E-2</v>
      </c>
      <c r="E384" s="40">
        <v>43964</v>
      </c>
      <c r="F384" s="24">
        <v>25.6</v>
      </c>
      <c r="G384" s="81">
        <f t="shared" si="11"/>
        <v>7.8186082877262919E-4</v>
      </c>
      <c r="L384" s="40">
        <v>43964</v>
      </c>
      <c r="M384" s="43">
        <v>-1.7462700000000001E-2</v>
      </c>
      <c r="N384" s="1">
        <v>7.8186082877262919E-4</v>
      </c>
    </row>
    <row r="385" spans="2:14">
      <c r="B385" s="40">
        <v>43965</v>
      </c>
      <c r="C385" s="47">
        <v>2852.5</v>
      </c>
      <c r="D385" s="81">
        <f t="shared" si="10"/>
        <v>1.1524822695035519E-2</v>
      </c>
      <c r="E385" s="40">
        <v>43965</v>
      </c>
      <c r="F385" s="24">
        <v>24.629999000000002</v>
      </c>
      <c r="G385" s="81">
        <f t="shared" si="11"/>
        <v>-3.7890664062499968E-2</v>
      </c>
      <c r="L385" s="40">
        <v>43965</v>
      </c>
      <c r="M385" s="43">
        <v>1.15248E-2</v>
      </c>
      <c r="N385" s="1">
        <v>-3.7890664062499968E-2</v>
      </c>
    </row>
    <row r="386" spans="2:14">
      <c r="B386" s="40">
        <v>43966</v>
      </c>
      <c r="C386" s="47">
        <v>2863.7</v>
      </c>
      <c r="D386" s="81">
        <f t="shared" si="10"/>
        <v>3.9263803680980036E-3</v>
      </c>
      <c r="E386" s="40">
        <v>43966</v>
      </c>
      <c r="F386" s="24">
        <v>24.860001</v>
      </c>
      <c r="G386" s="81">
        <f t="shared" si="11"/>
        <v>9.3382870214488989E-3</v>
      </c>
      <c r="L386" s="40">
        <v>43966</v>
      </c>
      <c r="M386" s="43">
        <v>3.9264E-3</v>
      </c>
      <c r="N386" s="1">
        <v>9.3382870214488989E-3</v>
      </c>
    </row>
    <row r="387" spans="2:14">
      <c r="B387" s="40">
        <v>43969</v>
      </c>
      <c r="C387" s="47">
        <v>2953.91</v>
      </c>
      <c r="D387" s="81">
        <f t="shared" si="10"/>
        <v>3.1501204735132848E-2</v>
      </c>
      <c r="E387" s="40">
        <v>43969</v>
      </c>
      <c r="F387" s="24">
        <v>25.139999</v>
      </c>
      <c r="G387" s="81">
        <f t="shared" si="11"/>
        <v>1.1262992306396047E-2</v>
      </c>
      <c r="L387" s="40">
        <v>43969</v>
      </c>
      <c r="M387" s="43">
        <v>3.15012E-2</v>
      </c>
      <c r="N387" s="1">
        <v>1.1262992306396047E-2</v>
      </c>
    </row>
    <row r="388" spans="2:14">
      <c r="B388" s="40">
        <v>43970</v>
      </c>
      <c r="C388" s="47">
        <v>2922.94</v>
      </c>
      <c r="D388" s="81">
        <f t="shared" si="10"/>
        <v>-1.0484408800538914E-2</v>
      </c>
      <c r="E388" s="40">
        <v>43970</v>
      </c>
      <c r="F388" s="24">
        <v>25.299999</v>
      </c>
      <c r="G388" s="81">
        <f t="shared" si="11"/>
        <v>6.3643598394733658E-3</v>
      </c>
      <c r="L388" s="40">
        <v>43970</v>
      </c>
      <c r="M388" s="43">
        <v>-1.04844E-2</v>
      </c>
      <c r="N388" s="1">
        <v>6.3643598394733658E-3</v>
      </c>
    </row>
    <row r="389" spans="2:14">
      <c r="B389" s="40">
        <v>43971</v>
      </c>
      <c r="C389" s="47">
        <v>2971.61</v>
      </c>
      <c r="D389" s="81">
        <f t="shared" si="10"/>
        <v>1.6651043127809739E-2</v>
      </c>
      <c r="E389" s="40">
        <v>43971</v>
      </c>
      <c r="F389" s="24">
        <v>25.309999000000001</v>
      </c>
      <c r="G389" s="81">
        <f t="shared" si="11"/>
        <v>3.9525693261888151E-4</v>
      </c>
      <c r="L389" s="40">
        <v>43971</v>
      </c>
      <c r="M389" s="43">
        <v>1.6650999999999999E-2</v>
      </c>
      <c r="N389" s="1">
        <v>3.9525693261888151E-4</v>
      </c>
    </row>
    <row r="390" spans="2:14">
      <c r="B390" s="40">
        <v>43972</v>
      </c>
      <c r="C390" s="47">
        <v>2948.51</v>
      </c>
      <c r="D390" s="81">
        <f t="shared" ref="D390:D453" si="12">C390/C389-1</f>
        <v>-7.7735638256701822E-3</v>
      </c>
      <c r="E390" s="40">
        <v>43972</v>
      </c>
      <c r="F390" s="24">
        <v>24.51</v>
      </c>
      <c r="G390" s="81">
        <f t="shared" ref="G390:G453" si="13">F390/F389-1</f>
        <v>-3.1608021794074292E-2</v>
      </c>
      <c r="L390" s="40">
        <v>43972</v>
      </c>
      <c r="M390" s="43">
        <v>-7.7736000000000003E-3</v>
      </c>
      <c r="N390" s="1">
        <v>-3.1608021794074292E-2</v>
      </c>
    </row>
    <row r="391" spans="2:14">
      <c r="B391" s="40">
        <v>43973</v>
      </c>
      <c r="C391" s="47">
        <v>2955.45</v>
      </c>
      <c r="D391" s="81">
        <f t="shared" si="12"/>
        <v>2.3537312066093108E-3</v>
      </c>
      <c r="E391" s="40">
        <v>43973</v>
      </c>
      <c r="F391" s="24">
        <v>24.290001</v>
      </c>
      <c r="G391" s="81">
        <f t="shared" si="13"/>
        <v>-8.9758873929008942E-3</v>
      </c>
      <c r="L391" s="40">
        <v>43973</v>
      </c>
      <c r="M391" s="43">
        <v>2.3536999999999998E-3</v>
      </c>
      <c r="N391" s="1">
        <v>-8.9758873929008942E-3</v>
      </c>
    </row>
    <row r="392" spans="2:14">
      <c r="B392" s="40">
        <v>43977</v>
      </c>
      <c r="C392" s="47">
        <v>2991.77</v>
      </c>
      <c r="D392" s="81">
        <f t="shared" si="12"/>
        <v>1.2289160703107926E-2</v>
      </c>
      <c r="E392" s="40">
        <v>43977</v>
      </c>
      <c r="F392" s="24">
        <v>24.440000999999999</v>
      </c>
      <c r="G392" s="81">
        <f t="shared" si="13"/>
        <v>6.1753805609146006E-3</v>
      </c>
      <c r="L392" s="40">
        <v>43977</v>
      </c>
      <c r="M392" s="43">
        <v>1.22892E-2</v>
      </c>
      <c r="N392" s="1">
        <v>6.1753805609146006E-3</v>
      </c>
    </row>
    <row r="393" spans="2:14">
      <c r="B393" s="40">
        <v>43978</v>
      </c>
      <c r="C393" s="47">
        <v>3036.13</v>
      </c>
      <c r="D393" s="81">
        <f t="shared" si="12"/>
        <v>1.4827343010993532E-2</v>
      </c>
      <c r="E393" s="40">
        <v>43978</v>
      </c>
      <c r="F393" s="24">
        <v>24.82</v>
      </c>
      <c r="G393" s="81">
        <f t="shared" si="13"/>
        <v>1.5548239953018017E-2</v>
      </c>
      <c r="L393" s="40">
        <v>43978</v>
      </c>
      <c r="M393" s="43">
        <v>1.48273E-2</v>
      </c>
      <c r="N393" s="1">
        <v>1.5548239953018017E-2</v>
      </c>
    </row>
    <row r="394" spans="2:14">
      <c r="B394" s="40">
        <v>43979</v>
      </c>
      <c r="C394" s="47">
        <v>3029.73</v>
      </c>
      <c r="D394" s="81">
        <f t="shared" si="12"/>
        <v>-2.1079466294262605E-3</v>
      </c>
      <c r="E394" s="40">
        <v>43979</v>
      </c>
      <c r="F394" s="24">
        <v>24.76</v>
      </c>
      <c r="G394" s="81">
        <f t="shared" si="13"/>
        <v>-2.4174053182915989E-3</v>
      </c>
      <c r="L394" s="40">
        <v>43979</v>
      </c>
      <c r="M394" s="43">
        <v>-2.1078999999999998E-3</v>
      </c>
      <c r="N394" s="1">
        <v>-2.4174053182915989E-3</v>
      </c>
    </row>
    <row r="395" spans="2:14">
      <c r="B395" s="40">
        <v>43980</v>
      </c>
      <c r="C395" s="47">
        <v>3044.31</v>
      </c>
      <c r="D395" s="81">
        <f t="shared" si="12"/>
        <v>4.8123100078225622E-3</v>
      </c>
      <c r="E395" s="40">
        <v>43980</v>
      </c>
      <c r="F395" s="24">
        <v>25.129999000000002</v>
      </c>
      <c r="G395" s="81">
        <f t="shared" si="13"/>
        <v>1.4943416801292297E-2</v>
      </c>
      <c r="L395" s="40">
        <v>43980</v>
      </c>
      <c r="M395" s="43">
        <v>4.8123000000000003E-3</v>
      </c>
      <c r="N395" s="1">
        <v>1.4943416801292297E-2</v>
      </c>
    </row>
    <row r="396" spans="2:14">
      <c r="B396" s="40">
        <v>43983</v>
      </c>
      <c r="C396" s="47">
        <v>3055.73</v>
      </c>
      <c r="D396" s="81">
        <f t="shared" si="12"/>
        <v>3.7512605483673855E-3</v>
      </c>
      <c r="E396" s="40">
        <v>43983</v>
      </c>
      <c r="F396" s="24">
        <v>25.48</v>
      </c>
      <c r="G396" s="81">
        <f t="shared" si="13"/>
        <v>1.3927616948969934E-2</v>
      </c>
      <c r="L396" s="40">
        <v>43983</v>
      </c>
      <c r="M396" s="43">
        <v>3.7512999999999999E-3</v>
      </c>
      <c r="N396" s="1">
        <v>1.3927616948969934E-2</v>
      </c>
    </row>
    <row r="397" spans="2:14">
      <c r="B397" s="40">
        <v>43984</v>
      </c>
      <c r="C397" s="47">
        <v>3080.82</v>
      </c>
      <c r="D397" s="81">
        <f t="shared" si="12"/>
        <v>8.2108039650099496E-3</v>
      </c>
      <c r="E397" s="40">
        <v>43984</v>
      </c>
      <c r="F397" s="24">
        <v>25.77</v>
      </c>
      <c r="G397" s="81">
        <f t="shared" si="13"/>
        <v>1.1381475667189944E-2</v>
      </c>
      <c r="L397" s="40">
        <v>43984</v>
      </c>
      <c r="M397" s="43">
        <v>8.2108000000000007E-3</v>
      </c>
      <c r="N397" s="1">
        <v>1.1381475667189944E-2</v>
      </c>
    </row>
    <row r="398" spans="2:14">
      <c r="B398" s="40">
        <v>43985</v>
      </c>
      <c r="C398" s="47">
        <v>3122.87</v>
      </c>
      <c r="D398" s="81">
        <f t="shared" si="12"/>
        <v>1.3648963587616247E-2</v>
      </c>
      <c r="E398" s="40">
        <v>43985</v>
      </c>
      <c r="F398" s="24">
        <v>25.620000999999998</v>
      </c>
      <c r="G398" s="81">
        <f t="shared" si="13"/>
        <v>-5.820682964687629E-3</v>
      </c>
      <c r="L398" s="40">
        <v>43985</v>
      </c>
      <c r="M398" s="43">
        <v>1.3649E-2</v>
      </c>
      <c r="N398" s="1">
        <v>-5.820682964687629E-3</v>
      </c>
    </row>
    <row r="399" spans="2:14">
      <c r="B399" s="40">
        <v>43986</v>
      </c>
      <c r="C399" s="47">
        <v>3112.35</v>
      </c>
      <c r="D399" s="81">
        <f t="shared" si="12"/>
        <v>-3.3686961032639573E-3</v>
      </c>
      <c r="E399" s="40">
        <v>43986</v>
      </c>
      <c r="F399" s="24">
        <v>24.93</v>
      </c>
      <c r="G399" s="81">
        <f t="shared" si="13"/>
        <v>-2.693212228992492E-2</v>
      </c>
      <c r="L399" s="40">
        <v>43986</v>
      </c>
      <c r="M399" s="43">
        <v>-3.3687000000000001E-3</v>
      </c>
      <c r="N399" s="1">
        <v>-2.693212228992492E-2</v>
      </c>
    </row>
    <row r="400" spans="2:14">
      <c r="B400" s="40">
        <v>43987</v>
      </c>
      <c r="C400" s="47">
        <v>3193.93</v>
      </c>
      <c r="D400" s="81">
        <f t="shared" si="12"/>
        <v>2.621170498176606E-2</v>
      </c>
      <c r="E400" s="40">
        <v>43987</v>
      </c>
      <c r="F400" s="24">
        <v>24.950001</v>
      </c>
      <c r="G400" s="81">
        <f t="shared" si="13"/>
        <v>8.0228640192547829E-4</v>
      </c>
      <c r="L400" s="40">
        <v>43987</v>
      </c>
      <c r="M400" s="43">
        <v>2.6211700000000001E-2</v>
      </c>
      <c r="N400" s="1">
        <v>8.0228640192547829E-4</v>
      </c>
    </row>
    <row r="401" spans="2:14">
      <c r="B401" s="40">
        <v>43990</v>
      </c>
      <c r="C401" s="47">
        <v>3232.39</v>
      </c>
      <c r="D401" s="81">
        <f t="shared" si="12"/>
        <v>1.2041591393674889E-2</v>
      </c>
      <c r="E401" s="40">
        <v>43990</v>
      </c>
      <c r="F401" s="24">
        <v>24.83</v>
      </c>
      <c r="G401" s="81">
        <f t="shared" si="13"/>
        <v>-4.8096591258653953E-3</v>
      </c>
      <c r="L401" s="40">
        <v>43990</v>
      </c>
      <c r="M401" s="43">
        <v>1.20416E-2</v>
      </c>
      <c r="N401" s="1">
        <v>-4.8096591258653953E-3</v>
      </c>
    </row>
    <row r="402" spans="2:14">
      <c r="B402" s="40">
        <v>43991</v>
      </c>
      <c r="C402" s="47">
        <v>3207.18</v>
      </c>
      <c r="D402" s="81">
        <f t="shared" si="12"/>
        <v>-7.7991826481333959E-3</v>
      </c>
      <c r="E402" s="40">
        <v>43991</v>
      </c>
      <c r="F402" s="24">
        <v>24.879999000000002</v>
      </c>
      <c r="G402" s="81">
        <f t="shared" si="13"/>
        <v>2.0136528393073228E-3</v>
      </c>
      <c r="L402" s="40">
        <v>43991</v>
      </c>
      <c r="M402" s="43">
        <v>-7.7992000000000001E-3</v>
      </c>
      <c r="N402" s="1">
        <v>2.0136528393073228E-3</v>
      </c>
    </row>
    <row r="403" spans="2:14">
      <c r="B403" s="40">
        <v>43992</v>
      </c>
      <c r="C403" s="47">
        <v>3190.14</v>
      </c>
      <c r="D403" s="81">
        <f t="shared" si="12"/>
        <v>-5.3130787794885004E-3</v>
      </c>
      <c r="E403" s="40">
        <v>43992</v>
      </c>
      <c r="F403" s="24">
        <v>24.309999000000001</v>
      </c>
      <c r="G403" s="81">
        <f t="shared" si="13"/>
        <v>-2.2909968766477884E-2</v>
      </c>
      <c r="L403" s="40">
        <v>43992</v>
      </c>
      <c r="M403" s="43">
        <v>-5.3131000000000003E-3</v>
      </c>
      <c r="N403" s="1">
        <v>-2.2909968766477884E-2</v>
      </c>
    </row>
    <row r="404" spans="2:14">
      <c r="B404" s="40">
        <v>43993</v>
      </c>
      <c r="C404" s="47">
        <v>3002.1</v>
      </c>
      <c r="D404" s="81">
        <f t="shared" si="12"/>
        <v>-5.8944121574601716E-2</v>
      </c>
      <c r="E404" s="40">
        <v>43993</v>
      </c>
      <c r="F404" s="24">
        <v>23.860001</v>
      </c>
      <c r="G404" s="81">
        <f t="shared" si="13"/>
        <v>-1.8510819354620289E-2</v>
      </c>
      <c r="L404" s="40">
        <v>43993</v>
      </c>
      <c r="M404" s="43">
        <v>-5.8944099999999999E-2</v>
      </c>
      <c r="N404" s="1">
        <v>-1.8510819354620289E-2</v>
      </c>
    </row>
    <row r="405" spans="2:14">
      <c r="B405" s="40">
        <v>43994</v>
      </c>
      <c r="C405" s="47">
        <v>3041.31</v>
      </c>
      <c r="D405" s="81">
        <f t="shared" si="12"/>
        <v>1.3060857399820103E-2</v>
      </c>
      <c r="E405" s="40">
        <v>43994</v>
      </c>
      <c r="F405" s="24">
        <v>23.01</v>
      </c>
      <c r="G405" s="81">
        <f t="shared" si="13"/>
        <v>-3.5624516528729333E-2</v>
      </c>
      <c r="L405" s="40">
        <v>43994</v>
      </c>
      <c r="M405" s="43">
        <v>1.30609E-2</v>
      </c>
      <c r="N405" s="1">
        <v>-3.5624516528729333E-2</v>
      </c>
    </row>
    <row r="406" spans="2:14">
      <c r="B406" s="40">
        <v>43997</v>
      </c>
      <c r="C406" s="47">
        <v>3066.59</v>
      </c>
      <c r="D406" s="81">
        <f t="shared" si="12"/>
        <v>8.3122075684491925E-3</v>
      </c>
      <c r="E406" s="40">
        <v>43997</v>
      </c>
      <c r="F406" s="24">
        <v>22.879999000000002</v>
      </c>
      <c r="G406" s="81">
        <f t="shared" si="13"/>
        <v>-5.6497609734897924E-3</v>
      </c>
      <c r="L406" s="40">
        <v>43997</v>
      </c>
      <c r="M406" s="43">
        <v>8.3122000000000005E-3</v>
      </c>
      <c r="N406" s="1">
        <v>-5.6497609734897924E-3</v>
      </c>
    </row>
    <row r="407" spans="2:14">
      <c r="B407" s="40">
        <v>43998</v>
      </c>
      <c r="C407" s="47">
        <v>3124.74</v>
      </c>
      <c r="D407" s="81">
        <f t="shared" si="12"/>
        <v>1.8962430582503575E-2</v>
      </c>
      <c r="E407" s="40">
        <v>43998</v>
      </c>
      <c r="F407" s="24">
        <v>23.559999000000001</v>
      </c>
      <c r="G407" s="81">
        <f t="shared" si="13"/>
        <v>2.9720281019242956E-2</v>
      </c>
      <c r="L407" s="40">
        <v>43998</v>
      </c>
      <c r="M407" s="43">
        <v>1.8962400000000001E-2</v>
      </c>
      <c r="N407" s="1">
        <v>2.9720281019242956E-2</v>
      </c>
    </row>
    <row r="408" spans="2:14">
      <c r="B408" s="40">
        <v>43999</v>
      </c>
      <c r="C408" s="47">
        <v>3113.49</v>
      </c>
      <c r="D408" s="81">
        <f t="shared" si="12"/>
        <v>-3.6002995449221364E-3</v>
      </c>
      <c r="E408" s="40">
        <v>43999</v>
      </c>
      <c r="F408" s="24">
        <v>23.34</v>
      </c>
      <c r="G408" s="81">
        <f t="shared" si="13"/>
        <v>-9.3378187325050543E-3</v>
      </c>
      <c r="L408" s="40">
        <v>43999</v>
      </c>
      <c r="M408" s="43">
        <v>-3.6002999999999999E-3</v>
      </c>
      <c r="N408" s="1">
        <v>-9.3378187325050543E-3</v>
      </c>
    </row>
    <row r="409" spans="2:14">
      <c r="B409" s="40">
        <v>44000</v>
      </c>
      <c r="C409" s="47">
        <v>3115.34</v>
      </c>
      <c r="D409" s="81">
        <f t="shared" si="12"/>
        <v>5.9418851513903803E-4</v>
      </c>
      <c r="E409" s="40">
        <v>44000</v>
      </c>
      <c r="F409" s="24">
        <v>22.299999</v>
      </c>
      <c r="G409" s="81">
        <f t="shared" si="13"/>
        <v>-4.4558740359897153E-2</v>
      </c>
      <c r="L409" s="40">
        <v>44000</v>
      </c>
      <c r="M409" s="43">
        <v>5.9420000000000002E-4</v>
      </c>
      <c r="N409" s="1">
        <v>-4.4558740359897153E-2</v>
      </c>
    </row>
    <row r="410" spans="2:14">
      <c r="B410" s="40">
        <v>44001</v>
      </c>
      <c r="C410" s="47">
        <v>3097.74</v>
      </c>
      <c r="D410" s="81">
        <f t="shared" si="12"/>
        <v>-5.6494636219482919E-3</v>
      </c>
      <c r="E410" s="40">
        <v>44001</v>
      </c>
      <c r="F410" s="24">
        <v>22.309999000000001</v>
      </c>
      <c r="G410" s="81">
        <f t="shared" si="13"/>
        <v>4.4843051338250284E-4</v>
      </c>
      <c r="L410" s="40">
        <v>44001</v>
      </c>
      <c r="M410" s="43">
        <v>-5.6495E-3</v>
      </c>
      <c r="N410" s="1">
        <v>4.4843051338250284E-4</v>
      </c>
    </row>
    <row r="411" spans="2:14">
      <c r="B411" s="40">
        <v>44004</v>
      </c>
      <c r="C411" s="47">
        <v>3117.86</v>
      </c>
      <c r="D411" s="81">
        <f t="shared" si="12"/>
        <v>6.4950576872171428E-3</v>
      </c>
      <c r="E411" s="40">
        <v>44004</v>
      </c>
      <c r="F411" s="24">
        <v>23.370000999999998</v>
      </c>
      <c r="G411" s="81">
        <f t="shared" si="13"/>
        <v>4.7512418086616659E-2</v>
      </c>
      <c r="L411" s="40">
        <v>44004</v>
      </c>
      <c r="M411" s="43">
        <v>6.4951000000000002E-3</v>
      </c>
      <c r="N411" s="1">
        <v>4.7512418086616659E-2</v>
      </c>
    </row>
    <row r="412" spans="2:14">
      <c r="B412" s="40">
        <v>44005</v>
      </c>
      <c r="C412" s="47">
        <v>3131.29</v>
      </c>
      <c r="D412" s="81">
        <f t="shared" si="12"/>
        <v>4.3074416426651663E-3</v>
      </c>
      <c r="E412" s="40">
        <v>44005</v>
      </c>
      <c r="F412" s="24">
        <v>23.23</v>
      </c>
      <c r="G412" s="81">
        <f t="shared" si="13"/>
        <v>-5.9906287552147219E-3</v>
      </c>
      <c r="L412" s="40">
        <v>44005</v>
      </c>
      <c r="M412" s="43">
        <v>4.3074000000000003E-3</v>
      </c>
      <c r="N412" s="1">
        <v>-5.9906287552147219E-3</v>
      </c>
    </row>
    <row r="413" spans="2:14">
      <c r="B413" s="40">
        <v>44006</v>
      </c>
      <c r="C413" s="47">
        <v>3050.33</v>
      </c>
      <c r="D413" s="81">
        <f t="shared" si="12"/>
        <v>-2.5855158736495243E-2</v>
      </c>
      <c r="E413" s="40">
        <v>44006</v>
      </c>
      <c r="F413" s="24">
        <v>23.6</v>
      </c>
      <c r="G413" s="81">
        <f t="shared" si="13"/>
        <v>1.592767972449427E-2</v>
      </c>
      <c r="L413" s="40">
        <v>44006</v>
      </c>
      <c r="M413" s="43">
        <v>-2.5855199999999998E-2</v>
      </c>
      <c r="N413" s="1">
        <v>1.592767972449427E-2</v>
      </c>
    </row>
    <row r="414" spans="2:14">
      <c r="B414" s="40">
        <v>44007</v>
      </c>
      <c r="C414" s="47">
        <v>3083.76</v>
      </c>
      <c r="D414" s="81">
        <f t="shared" si="12"/>
        <v>1.0959469958988111E-2</v>
      </c>
      <c r="E414" s="40">
        <v>44007</v>
      </c>
      <c r="F414" s="24">
        <v>24.23</v>
      </c>
      <c r="G414" s="81">
        <f t="shared" si="13"/>
        <v>2.6694915254237284E-2</v>
      </c>
      <c r="L414" s="40">
        <v>44007</v>
      </c>
      <c r="M414" s="43">
        <v>1.09595E-2</v>
      </c>
      <c r="N414" s="1">
        <v>2.6694915254237284E-2</v>
      </c>
    </row>
    <row r="415" spans="2:14">
      <c r="B415" s="40">
        <v>44008</v>
      </c>
      <c r="C415" s="47">
        <v>3009.05</v>
      </c>
      <c r="D415" s="81">
        <f t="shared" si="12"/>
        <v>-2.4226917788673585E-2</v>
      </c>
      <c r="E415" s="40">
        <v>44008</v>
      </c>
      <c r="F415" s="24">
        <v>24.719999000000001</v>
      </c>
      <c r="G415" s="81">
        <f t="shared" si="13"/>
        <v>2.0222822946760255E-2</v>
      </c>
      <c r="L415" s="40">
        <v>44008</v>
      </c>
      <c r="M415" s="43">
        <v>-2.4226899999999999E-2</v>
      </c>
      <c r="N415" s="1">
        <v>2.0222822946760255E-2</v>
      </c>
    </row>
    <row r="416" spans="2:14">
      <c r="B416" s="40">
        <v>44011</v>
      </c>
      <c r="C416" s="47">
        <v>3053.24</v>
      </c>
      <c r="D416" s="81">
        <f t="shared" si="12"/>
        <v>1.468569814393228E-2</v>
      </c>
      <c r="E416" s="40">
        <v>44011</v>
      </c>
      <c r="F416" s="24">
        <v>25.91</v>
      </c>
      <c r="G416" s="81">
        <f t="shared" si="13"/>
        <v>4.8139200976504926E-2</v>
      </c>
      <c r="L416" s="40">
        <v>44011</v>
      </c>
      <c r="M416" s="43">
        <v>1.4685699999999999E-2</v>
      </c>
      <c r="N416" s="1">
        <v>4.8139200976504926E-2</v>
      </c>
    </row>
    <row r="417" spans="2:14">
      <c r="B417" s="40">
        <v>44012</v>
      </c>
      <c r="C417" s="47">
        <v>3100.29</v>
      </c>
      <c r="D417" s="81">
        <f t="shared" si="12"/>
        <v>1.5409859690034278E-2</v>
      </c>
      <c r="E417" s="40">
        <v>44012</v>
      </c>
      <c r="F417" s="24">
        <v>25.59</v>
      </c>
      <c r="G417" s="81">
        <f t="shared" si="13"/>
        <v>-1.2350443844075687E-2</v>
      </c>
      <c r="L417" s="40">
        <v>44012</v>
      </c>
      <c r="M417" s="43">
        <v>1.5409900000000001E-2</v>
      </c>
      <c r="N417" s="1">
        <v>-1.2350443844075687E-2</v>
      </c>
    </row>
    <row r="418" spans="2:14">
      <c r="B418" s="40">
        <v>44013</v>
      </c>
      <c r="C418" s="47">
        <v>3115.86</v>
      </c>
      <c r="D418" s="81">
        <f t="shared" si="12"/>
        <v>5.022110834792981E-3</v>
      </c>
      <c r="E418" s="40">
        <v>44013</v>
      </c>
      <c r="F418" s="24">
        <v>24.93</v>
      </c>
      <c r="G418" s="81">
        <f t="shared" si="13"/>
        <v>-2.5791324736225141E-2</v>
      </c>
      <c r="L418" s="40">
        <v>44013</v>
      </c>
      <c r="M418" s="43">
        <v>5.0220999999999998E-3</v>
      </c>
      <c r="N418" s="1">
        <v>-2.5791324736225141E-2</v>
      </c>
    </row>
    <row r="419" spans="2:14">
      <c r="B419" s="40">
        <v>44014</v>
      </c>
      <c r="C419" s="47">
        <v>3130.01</v>
      </c>
      <c r="D419" s="81">
        <f t="shared" si="12"/>
        <v>4.5412823425956539E-3</v>
      </c>
      <c r="E419" s="40">
        <v>44014</v>
      </c>
      <c r="F419" s="24">
        <v>24.9</v>
      </c>
      <c r="G419" s="81">
        <f t="shared" si="13"/>
        <v>-1.2033694344164569E-3</v>
      </c>
      <c r="L419" s="40">
        <v>44014</v>
      </c>
      <c r="M419" s="43">
        <v>4.5412999999999999E-3</v>
      </c>
      <c r="N419" s="1">
        <v>-1.2033694344164569E-3</v>
      </c>
    </row>
    <row r="420" spans="2:14">
      <c r="B420" s="40">
        <v>44018</v>
      </c>
      <c r="C420" s="47">
        <v>3179.72</v>
      </c>
      <c r="D420" s="81">
        <f t="shared" si="12"/>
        <v>1.5881738397001799E-2</v>
      </c>
      <c r="E420" s="40">
        <v>44018</v>
      </c>
      <c r="F420" s="24">
        <v>25.9</v>
      </c>
      <c r="G420" s="81">
        <f t="shared" si="13"/>
        <v>4.016064257028118E-2</v>
      </c>
      <c r="L420" s="40">
        <v>44018</v>
      </c>
      <c r="M420" s="43">
        <v>1.5881699999999999E-2</v>
      </c>
      <c r="N420" s="1">
        <v>4.016064257028118E-2</v>
      </c>
    </row>
    <row r="421" spans="2:14">
      <c r="B421" s="40">
        <v>44019</v>
      </c>
      <c r="C421" s="47">
        <v>3145.32</v>
      </c>
      <c r="D421" s="81">
        <f t="shared" si="12"/>
        <v>-1.0818562640735552E-2</v>
      </c>
      <c r="E421" s="40">
        <v>44019</v>
      </c>
      <c r="F421" s="24">
        <v>26.16</v>
      </c>
      <c r="G421" s="81">
        <f t="shared" si="13"/>
        <v>1.0038610038610063E-2</v>
      </c>
      <c r="L421" s="40">
        <v>44019</v>
      </c>
      <c r="M421" s="43">
        <v>-1.0818599999999999E-2</v>
      </c>
      <c r="N421" s="1">
        <v>1.0038610038610063E-2</v>
      </c>
    </row>
    <row r="422" spans="2:14">
      <c r="B422" s="40">
        <v>44020</v>
      </c>
      <c r="C422" s="47">
        <v>3169.94</v>
      </c>
      <c r="D422" s="81">
        <f t="shared" si="12"/>
        <v>7.8275024480816136E-3</v>
      </c>
      <c r="E422" s="40">
        <v>44020</v>
      </c>
      <c r="F422" s="24">
        <v>24.879999000000002</v>
      </c>
      <c r="G422" s="81">
        <f t="shared" si="13"/>
        <v>-4.8929701834862338E-2</v>
      </c>
      <c r="L422" s="40">
        <v>44020</v>
      </c>
      <c r="M422" s="43">
        <v>7.8274999999999994E-3</v>
      </c>
      <c r="N422" s="1">
        <v>-4.8929701834862338E-2</v>
      </c>
    </row>
    <row r="423" spans="2:14">
      <c r="B423" s="40">
        <v>44021</v>
      </c>
      <c r="C423" s="47">
        <v>3152.05</v>
      </c>
      <c r="D423" s="81">
        <f t="shared" si="12"/>
        <v>-5.6436399427117756E-3</v>
      </c>
      <c r="E423" s="40">
        <v>44021</v>
      </c>
      <c r="F423" s="24">
        <v>24.52</v>
      </c>
      <c r="G423" s="81">
        <f t="shared" si="13"/>
        <v>-1.4469413764847894E-2</v>
      </c>
      <c r="L423" s="40">
        <v>44021</v>
      </c>
      <c r="M423" s="43">
        <v>-5.6436000000000004E-3</v>
      </c>
      <c r="N423" s="1">
        <v>-1.4469413764847894E-2</v>
      </c>
    </row>
    <row r="424" spans="2:14">
      <c r="B424" s="40">
        <v>44022</v>
      </c>
      <c r="C424" s="47">
        <v>3185.04</v>
      </c>
      <c r="D424" s="81">
        <f t="shared" si="12"/>
        <v>1.046620453355751E-2</v>
      </c>
      <c r="E424" s="40">
        <v>44022</v>
      </c>
      <c r="F424" s="24">
        <v>24.35</v>
      </c>
      <c r="G424" s="81">
        <f t="shared" si="13"/>
        <v>-6.9331158238171708E-3</v>
      </c>
      <c r="L424" s="40">
        <v>44022</v>
      </c>
      <c r="M424" s="43">
        <v>1.04662E-2</v>
      </c>
      <c r="N424" s="1">
        <v>-6.9331158238171708E-3</v>
      </c>
    </row>
    <row r="425" spans="2:14">
      <c r="B425" s="40">
        <v>44025</v>
      </c>
      <c r="C425" s="47">
        <v>3155.22</v>
      </c>
      <c r="D425" s="81">
        <f t="shared" si="12"/>
        <v>-9.3625197799713789E-3</v>
      </c>
      <c r="E425" s="40">
        <v>44025</v>
      </c>
      <c r="F425" s="24">
        <v>24.299999</v>
      </c>
      <c r="G425" s="81">
        <f t="shared" si="13"/>
        <v>-2.0534291581109088E-3</v>
      </c>
      <c r="L425" s="40">
        <v>44025</v>
      </c>
      <c r="M425" s="43">
        <v>-9.3624999999999993E-3</v>
      </c>
      <c r="N425" s="1">
        <v>-2.0534291581109088E-3</v>
      </c>
    </row>
    <row r="426" spans="2:14">
      <c r="B426" s="40">
        <v>44026</v>
      </c>
      <c r="C426" s="47">
        <v>3197.52</v>
      </c>
      <c r="D426" s="81">
        <f t="shared" si="12"/>
        <v>1.3406355182839835E-2</v>
      </c>
      <c r="E426" s="40">
        <v>44026</v>
      </c>
      <c r="F426" s="24">
        <v>25.65</v>
      </c>
      <c r="G426" s="81">
        <f t="shared" si="13"/>
        <v>5.5555598994057487E-2</v>
      </c>
      <c r="L426" s="40">
        <v>44026</v>
      </c>
      <c r="M426" s="43">
        <v>1.3406400000000001E-2</v>
      </c>
      <c r="N426" s="1">
        <v>5.5555598994057487E-2</v>
      </c>
    </row>
    <row r="427" spans="2:14">
      <c r="B427" s="40">
        <v>44027</v>
      </c>
      <c r="C427" s="47">
        <v>3226.56</v>
      </c>
      <c r="D427" s="81">
        <f t="shared" si="12"/>
        <v>9.0820385798993097E-3</v>
      </c>
      <c r="E427" s="40">
        <v>44027</v>
      </c>
      <c r="F427" s="24">
        <v>25.92</v>
      </c>
      <c r="G427" s="81">
        <f t="shared" si="13"/>
        <v>1.0526315789473717E-2</v>
      </c>
      <c r="L427" s="40">
        <v>44027</v>
      </c>
      <c r="M427" s="43">
        <v>9.0819999999999998E-3</v>
      </c>
      <c r="N427" s="1">
        <v>1.0526315789473717E-2</v>
      </c>
    </row>
    <row r="428" spans="2:14">
      <c r="B428" s="40">
        <v>44028</v>
      </c>
      <c r="C428" s="47">
        <v>3215.57</v>
      </c>
      <c r="D428" s="81">
        <f t="shared" si="12"/>
        <v>-3.4061043340275488E-3</v>
      </c>
      <c r="E428" s="40">
        <v>44028</v>
      </c>
      <c r="F428" s="24">
        <v>25.67</v>
      </c>
      <c r="G428" s="81">
        <f t="shared" si="13"/>
        <v>-9.6450617283950768E-3</v>
      </c>
      <c r="L428" s="40">
        <v>44028</v>
      </c>
      <c r="M428" s="43">
        <v>-3.4061E-3</v>
      </c>
      <c r="N428" s="1">
        <v>-9.6450617283950768E-3</v>
      </c>
    </row>
    <row r="429" spans="2:14">
      <c r="B429" s="40">
        <v>44029</v>
      </c>
      <c r="C429" s="47">
        <v>3224.73</v>
      </c>
      <c r="D429" s="81">
        <f t="shared" si="12"/>
        <v>2.8486395880045201E-3</v>
      </c>
      <c r="E429" s="40">
        <v>44029</v>
      </c>
      <c r="F429" s="24">
        <v>25.639999</v>
      </c>
      <c r="G429" s="81">
        <f t="shared" si="13"/>
        <v>-1.1687183482665953E-3</v>
      </c>
      <c r="L429" s="40">
        <v>44029</v>
      </c>
      <c r="M429" s="43">
        <v>2.8486000000000002E-3</v>
      </c>
      <c r="N429" s="1">
        <v>-1.1687183482665953E-3</v>
      </c>
    </row>
    <row r="430" spans="2:14">
      <c r="B430" s="40">
        <v>44032</v>
      </c>
      <c r="C430" s="47">
        <v>3251.84</v>
      </c>
      <c r="D430" s="81">
        <f t="shared" si="12"/>
        <v>8.4069053843267572E-3</v>
      </c>
      <c r="E430" s="40">
        <v>44032</v>
      </c>
      <c r="F430" s="24">
        <v>25.58</v>
      </c>
      <c r="G430" s="81">
        <f t="shared" si="13"/>
        <v>-2.3400546934498889E-3</v>
      </c>
      <c r="L430" s="40">
        <v>44032</v>
      </c>
      <c r="M430" s="43">
        <v>8.4069000000000001E-3</v>
      </c>
      <c r="N430" s="1">
        <v>-2.3400546934498889E-3</v>
      </c>
    </row>
    <row r="431" spans="2:14">
      <c r="B431" s="40">
        <v>44033</v>
      </c>
      <c r="C431" s="47">
        <v>3257.3</v>
      </c>
      <c r="D431" s="81">
        <f t="shared" si="12"/>
        <v>1.6790493997245193E-3</v>
      </c>
      <c r="E431" s="40">
        <v>44033</v>
      </c>
      <c r="F431" s="24">
        <v>27.41</v>
      </c>
      <c r="G431" s="81">
        <f t="shared" si="13"/>
        <v>7.1540265832681804E-2</v>
      </c>
      <c r="L431" s="40">
        <v>44033</v>
      </c>
      <c r="M431" s="43">
        <v>1.6789999999999999E-3</v>
      </c>
      <c r="N431" s="1">
        <v>7.1540265832681804E-2</v>
      </c>
    </row>
    <row r="432" spans="2:14">
      <c r="B432" s="40">
        <v>44034</v>
      </c>
      <c r="C432" s="47">
        <v>3276.02</v>
      </c>
      <c r="D432" s="81">
        <f t="shared" si="12"/>
        <v>5.7470911491110943E-3</v>
      </c>
      <c r="E432" s="40">
        <v>44034</v>
      </c>
      <c r="F432" s="24">
        <v>27.309999000000001</v>
      </c>
      <c r="G432" s="81">
        <f t="shared" si="13"/>
        <v>-3.6483400218897399E-3</v>
      </c>
      <c r="L432" s="40">
        <v>44034</v>
      </c>
      <c r="M432" s="43">
        <v>5.7470999999999998E-3</v>
      </c>
      <c r="N432" s="1">
        <v>-3.6483400218897399E-3</v>
      </c>
    </row>
    <row r="433" spans="2:14">
      <c r="B433" s="40">
        <v>44035</v>
      </c>
      <c r="C433" s="47">
        <v>3235.66</v>
      </c>
      <c r="D433" s="81">
        <f t="shared" si="12"/>
        <v>-1.2319827107282633E-2</v>
      </c>
      <c r="E433" s="40">
        <v>44035</v>
      </c>
      <c r="F433" s="24">
        <v>27.040001</v>
      </c>
      <c r="G433" s="81">
        <f t="shared" si="13"/>
        <v>-9.8864155945227461E-3</v>
      </c>
      <c r="L433" s="40">
        <v>44035</v>
      </c>
      <c r="M433" s="43">
        <v>-1.2319800000000001E-2</v>
      </c>
      <c r="N433" s="1">
        <v>-9.8864155945227461E-3</v>
      </c>
    </row>
    <row r="434" spans="2:14">
      <c r="B434" s="40">
        <v>44036</v>
      </c>
      <c r="C434" s="47">
        <v>3215.63</v>
      </c>
      <c r="D434" s="81">
        <f t="shared" si="12"/>
        <v>-6.1903908321639944E-3</v>
      </c>
      <c r="E434" s="40">
        <v>44036</v>
      </c>
      <c r="F434" s="24">
        <v>26.610001</v>
      </c>
      <c r="G434" s="81">
        <f t="shared" si="13"/>
        <v>-1.5902366275800106E-2</v>
      </c>
      <c r="L434" s="40">
        <v>44036</v>
      </c>
      <c r="M434" s="43">
        <v>-6.1904000000000004E-3</v>
      </c>
      <c r="N434" s="1">
        <v>-1.5902366275800106E-2</v>
      </c>
    </row>
    <row r="435" spans="2:14">
      <c r="B435" s="40">
        <v>44039</v>
      </c>
      <c r="C435" s="47">
        <v>3239.41</v>
      </c>
      <c r="D435" s="81">
        <f t="shared" si="12"/>
        <v>7.3951294147647229E-3</v>
      </c>
      <c r="E435" s="40">
        <v>44039</v>
      </c>
      <c r="F435" s="24">
        <v>26.91</v>
      </c>
      <c r="G435" s="81">
        <f t="shared" si="13"/>
        <v>1.127391915543341E-2</v>
      </c>
      <c r="L435" s="40">
        <v>44039</v>
      </c>
      <c r="M435" s="43">
        <v>7.3950999999999999E-3</v>
      </c>
      <c r="N435" s="1">
        <v>1.127391915543341E-2</v>
      </c>
    </row>
    <row r="436" spans="2:14">
      <c r="B436" s="40">
        <v>44040</v>
      </c>
      <c r="C436" s="47">
        <v>3218.44</v>
      </c>
      <c r="D436" s="81">
        <f t="shared" si="12"/>
        <v>-6.4734010205561576E-3</v>
      </c>
      <c r="E436" s="40">
        <v>44040</v>
      </c>
      <c r="F436" s="24">
        <v>27.02</v>
      </c>
      <c r="G436" s="81">
        <f t="shared" si="13"/>
        <v>4.0876997398735515E-3</v>
      </c>
      <c r="L436" s="40">
        <v>44040</v>
      </c>
      <c r="M436" s="43">
        <v>-6.4733999999999998E-3</v>
      </c>
      <c r="N436" s="1">
        <v>4.0876997398735515E-3</v>
      </c>
    </row>
    <row r="437" spans="2:14">
      <c r="B437" s="40">
        <v>44041</v>
      </c>
      <c r="C437" s="47">
        <v>3258.44</v>
      </c>
      <c r="D437" s="81">
        <f t="shared" si="12"/>
        <v>1.2428381451883519E-2</v>
      </c>
      <c r="E437" s="40">
        <v>44041</v>
      </c>
      <c r="F437" s="24">
        <v>27.15</v>
      </c>
      <c r="G437" s="81">
        <f t="shared" si="13"/>
        <v>4.8112509252404845E-3</v>
      </c>
      <c r="L437" s="40">
        <v>44041</v>
      </c>
      <c r="M437" s="43">
        <v>1.2428399999999999E-2</v>
      </c>
      <c r="N437" s="1">
        <v>4.8112509252404845E-3</v>
      </c>
    </row>
    <row r="438" spans="2:14">
      <c r="B438" s="40">
        <v>44042</v>
      </c>
      <c r="C438" s="47">
        <v>3246.22</v>
      </c>
      <c r="D438" s="81">
        <f t="shared" si="12"/>
        <v>-3.7502608610255894E-3</v>
      </c>
      <c r="E438" s="40">
        <v>44042</v>
      </c>
      <c r="F438" s="24">
        <v>26.5</v>
      </c>
      <c r="G438" s="81">
        <f t="shared" si="13"/>
        <v>-2.3941068139963106E-2</v>
      </c>
      <c r="L438" s="40">
        <v>44042</v>
      </c>
      <c r="M438" s="43">
        <v>-3.7502999999999998E-3</v>
      </c>
      <c r="N438" s="1">
        <v>-2.3941068139963106E-2</v>
      </c>
    </row>
    <row r="439" spans="2:14">
      <c r="B439" s="40">
        <v>44043</v>
      </c>
      <c r="C439" s="47">
        <v>3271.12</v>
      </c>
      <c r="D439" s="81">
        <f t="shared" si="12"/>
        <v>7.6704597963170862E-3</v>
      </c>
      <c r="E439" s="40">
        <v>44043</v>
      </c>
      <c r="F439" s="24">
        <v>26.379999000000002</v>
      </c>
      <c r="G439" s="81">
        <f t="shared" si="13"/>
        <v>-4.5283396226414308E-3</v>
      </c>
      <c r="L439" s="40">
        <v>44043</v>
      </c>
      <c r="M439" s="43">
        <v>7.6705000000000002E-3</v>
      </c>
      <c r="N439" s="1">
        <v>-4.5283396226414308E-3</v>
      </c>
    </row>
    <row r="440" spans="2:14">
      <c r="B440" s="40">
        <v>44046</v>
      </c>
      <c r="C440" s="47">
        <v>3294.61</v>
      </c>
      <c r="D440" s="81">
        <f t="shared" si="12"/>
        <v>7.1810266819927193E-3</v>
      </c>
      <c r="E440" s="40">
        <v>44046</v>
      </c>
      <c r="F440" s="24">
        <v>25.24</v>
      </c>
      <c r="G440" s="81">
        <f t="shared" si="13"/>
        <v>-4.3214520212832563E-2</v>
      </c>
      <c r="L440" s="40">
        <v>44046</v>
      </c>
      <c r="M440" s="43">
        <v>7.1809999999999999E-3</v>
      </c>
      <c r="N440" s="1">
        <v>-4.3214520212832563E-2</v>
      </c>
    </row>
    <row r="441" spans="2:14">
      <c r="B441" s="40">
        <v>44047</v>
      </c>
      <c r="C441" s="47">
        <v>3306.51</v>
      </c>
      <c r="D441" s="81">
        <f t="shared" si="12"/>
        <v>3.6119601409574376E-3</v>
      </c>
      <c r="E441" s="40">
        <v>44047</v>
      </c>
      <c r="F441" s="24">
        <v>25.280000999999999</v>
      </c>
      <c r="G441" s="81">
        <f t="shared" si="13"/>
        <v>1.5848256735340183E-3</v>
      </c>
      <c r="L441" s="40">
        <v>44047</v>
      </c>
      <c r="M441" s="43">
        <v>3.6120000000000002E-3</v>
      </c>
      <c r="N441" s="1">
        <v>1.5848256735340183E-3</v>
      </c>
    </row>
    <row r="442" spans="2:14">
      <c r="B442" s="40">
        <v>44048</v>
      </c>
      <c r="C442" s="47">
        <v>3327.77</v>
      </c>
      <c r="D442" s="81">
        <f t="shared" si="12"/>
        <v>6.4297401187354275E-3</v>
      </c>
      <c r="E442" s="40">
        <v>44048</v>
      </c>
      <c r="F442" s="24">
        <v>24.879999000000002</v>
      </c>
      <c r="G442" s="81">
        <f t="shared" si="13"/>
        <v>-1.5822863298146084E-2</v>
      </c>
      <c r="L442" s="40">
        <v>44048</v>
      </c>
      <c r="M442" s="43">
        <v>6.4297E-3</v>
      </c>
      <c r="N442" s="1">
        <v>-1.5822863298146084E-2</v>
      </c>
    </row>
    <row r="443" spans="2:14">
      <c r="B443" s="40">
        <v>44049</v>
      </c>
      <c r="C443" s="47">
        <v>3349.16</v>
      </c>
      <c r="D443" s="81">
        <f t="shared" si="12"/>
        <v>6.4277278778279712E-3</v>
      </c>
      <c r="E443" s="40">
        <v>44049</v>
      </c>
      <c r="F443" s="24">
        <v>24.66</v>
      </c>
      <c r="G443" s="81">
        <f t="shared" si="13"/>
        <v>-8.8424038923796688E-3</v>
      </c>
      <c r="L443" s="40">
        <v>44049</v>
      </c>
      <c r="M443" s="43">
        <v>6.4276999999999997E-3</v>
      </c>
      <c r="N443" s="1">
        <v>-8.8424038923796688E-3</v>
      </c>
    </row>
    <row r="444" spans="2:14">
      <c r="B444" s="40">
        <v>44050</v>
      </c>
      <c r="C444" s="47">
        <v>3351.28</v>
      </c>
      <c r="D444" s="81">
        <f t="shared" si="12"/>
        <v>6.329945419150107E-4</v>
      </c>
      <c r="E444" s="40">
        <v>44050</v>
      </c>
      <c r="F444" s="24">
        <v>25.030000999999999</v>
      </c>
      <c r="G444" s="81">
        <f t="shared" si="13"/>
        <v>1.5004095701540932E-2</v>
      </c>
      <c r="L444" s="40">
        <v>44050</v>
      </c>
      <c r="M444" s="43">
        <v>6.3299999999999999E-4</v>
      </c>
      <c r="N444" s="1">
        <v>1.5004095701540932E-2</v>
      </c>
    </row>
    <row r="445" spans="2:14">
      <c r="B445" s="40">
        <v>44053</v>
      </c>
      <c r="C445" s="47">
        <v>3360.47</v>
      </c>
      <c r="D445" s="81">
        <f t="shared" si="12"/>
        <v>2.7422358024395965E-3</v>
      </c>
      <c r="E445" s="40">
        <v>44053</v>
      </c>
      <c r="F445" s="24">
        <v>24.77</v>
      </c>
      <c r="G445" s="81">
        <f t="shared" si="13"/>
        <v>-1.0387574495102858E-2</v>
      </c>
      <c r="L445" s="40">
        <v>44053</v>
      </c>
      <c r="M445" s="43">
        <v>2.7422000000000002E-3</v>
      </c>
      <c r="N445" s="1">
        <v>-1.0387574495102858E-2</v>
      </c>
    </row>
    <row r="446" spans="2:14">
      <c r="B446" s="40">
        <v>44054</v>
      </c>
      <c r="C446" s="47">
        <v>3333.69</v>
      </c>
      <c r="D446" s="81">
        <f t="shared" si="12"/>
        <v>-7.9691233666718819E-3</v>
      </c>
      <c r="E446" s="40">
        <v>44054</v>
      </c>
      <c r="F446" s="24">
        <v>23.709999</v>
      </c>
      <c r="G446" s="81">
        <f t="shared" si="13"/>
        <v>-4.2793742430359272E-2</v>
      </c>
      <c r="L446" s="40">
        <v>44054</v>
      </c>
      <c r="M446" s="43">
        <v>-7.9690999999999998E-3</v>
      </c>
      <c r="N446" s="1">
        <v>-4.2793742430359272E-2</v>
      </c>
    </row>
    <row r="447" spans="2:14">
      <c r="B447" s="40">
        <v>44055</v>
      </c>
      <c r="C447" s="47">
        <v>3380.35</v>
      </c>
      <c r="D447" s="81">
        <f t="shared" si="12"/>
        <v>1.3996502374245878E-2</v>
      </c>
      <c r="E447" s="40">
        <v>44055</v>
      </c>
      <c r="F447" s="24">
        <v>23.860001</v>
      </c>
      <c r="G447" s="81">
        <f t="shared" si="13"/>
        <v>6.3265291575929083E-3</v>
      </c>
      <c r="L447" s="40">
        <v>44055</v>
      </c>
      <c r="M447" s="43">
        <v>1.39965E-2</v>
      </c>
      <c r="N447" s="1">
        <v>6.3265291575929083E-3</v>
      </c>
    </row>
    <row r="448" spans="2:14">
      <c r="B448" s="40">
        <v>44056</v>
      </c>
      <c r="C448" s="47">
        <v>3373.43</v>
      </c>
      <c r="D448" s="81">
        <f t="shared" si="12"/>
        <v>-2.0471252976762555E-3</v>
      </c>
      <c r="E448" s="40">
        <v>44056</v>
      </c>
      <c r="F448" s="24">
        <v>24.469999000000001</v>
      </c>
      <c r="G448" s="81">
        <f t="shared" si="13"/>
        <v>2.5565715609148665E-2</v>
      </c>
      <c r="L448" s="40">
        <v>44056</v>
      </c>
      <c r="M448" s="43">
        <v>-2.0471E-3</v>
      </c>
      <c r="N448" s="1">
        <v>2.5565715609148665E-2</v>
      </c>
    </row>
    <row r="449" spans="2:14">
      <c r="B449" s="40">
        <v>44057</v>
      </c>
      <c r="C449" s="47">
        <v>3372.85</v>
      </c>
      <c r="D449" s="81">
        <f t="shared" si="12"/>
        <v>-1.7193183199293305E-4</v>
      </c>
      <c r="E449" s="40">
        <v>44057</v>
      </c>
      <c r="F449" s="24">
        <v>24.5</v>
      </c>
      <c r="G449" s="81">
        <f t="shared" si="13"/>
        <v>1.226031925869675E-3</v>
      </c>
      <c r="L449" s="40">
        <v>44057</v>
      </c>
      <c r="M449" s="43">
        <v>-1.719E-4</v>
      </c>
      <c r="N449" s="1">
        <v>1.226031925869675E-3</v>
      </c>
    </row>
    <row r="450" spans="2:14">
      <c r="B450" s="40">
        <v>44060</v>
      </c>
      <c r="C450" s="47">
        <v>3381.99</v>
      </c>
      <c r="D450" s="81">
        <f t="shared" si="12"/>
        <v>2.7098744385312123E-3</v>
      </c>
      <c r="E450" s="40">
        <v>44060</v>
      </c>
      <c r="F450" s="24">
        <v>24.35</v>
      </c>
      <c r="G450" s="81">
        <f t="shared" si="13"/>
        <v>-6.1224489795917991E-3</v>
      </c>
      <c r="L450" s="40">
        <v>44060</v>
      </c>
      <c r="M450" s="43">
        <v>2.7098999999999999E-3</v>
      </c>
      <c r="N450" s="1">
        <v>-6.1224489795917991E-3</v>
      </c>
    </row>
    <row r="451" spans="2:14">
      <c r="B451" s="40">
        <v>44061</v>
      </c>
      <c r="C451" s="47">
        <v>3389.78</v>
      </c>
      <c r="D451" s="81">
        <f t="shared" si="12"/>
        <v>2.3033775972136628E-3</v>
      </c>
      <c r="E451" s="40">
        <v>44061</v>
      </c>
      <c r="F451" s="24">
        <v>24.129999000000002</v>
      </c>
      <c r="G451" s="81">
        <f t="shared" si="13"/>
        <v>-9.0349486652977484E-3</v>
      </c>
      <c r="L451" s="40">
        <v>44061</v>
      </c>
      <c r="M451" s="43">
        <v>2.3034000000000002E-3</v>
      </c>
      <c r="N451" s="1">
        <v>-9.0349486652977484E-3</v>
      </c>
    </row>
    <row r="452" spans="2:14">
      <c r="B452" s="40">
        <v>44062</v>
      </c>
      <c r="C452" s="47">
        <v>3374.85</v>
      </c>
      <c r="D452" s="81">
        <f t="shared" si="12"/>
        <v>-4.4044156257928568E-3</v>
      </c>
      <c r="E452" s="40">
        <v>44062</v>
      </c>
      <c r="F452" s="24">
        <v>24.190000999999999</v>
      </c>
      <c r="G452" s="81">
        <f t="shared" si="13"/>
        <v>2.4866142762789423E-3</v>
      </c>
      <c r="L452" s="40">
        <v>44062</v>
      </c>
      <c r="M452" s="43">
        <v>-4.4044000000000002E-3</v>
      </c>
      <c r="N452" s="1">
        <v>2.4866142762789423E-3</v>
      </c>
    </row>
    <row r="453" spans="2:14">
      <c r="B453" s="40">
        <v>44063</v>
      </c>
      <c r="C453" s="47">
        <v>3385.51</v>
      </c>
      <c r="D453" s="81">
        <f t="shared" si="12"/>
        <v>3.1586589033587575E-3</v>
      </c>
      <c r="E453" s="40">
        <v>44063</v>
      </c>
      <c r="F453" s="24">
        <v>24.32</v>
      </c>
      <c r="G453" s="81">
        <f t="shared" si="13"/>
        <v>5.3740799762680425E-3</v>
      </c>
      <c r="L453" s="40">
        <v>44063</v>
      </c>
      <c r="M453" s="43">
        <v>3.1587E-3</v>
      </c>
      <c r="N453" s="1">
        <v>5.3740799762680425E-3</v>
      </c>
    </row>
    <row r="454" spans="2:14">
      <c r="B454" s="40">
        <v>44064</v>
      </c>
      <c r="C454" s="47">
        <v>3397.16</v>
      </c>
      <c r="D454" s="81">
        <f t="shared" ref="D454:D517" si="14">C454/C453-1</f>
        <v>3.4411358997610275E-3</v>
      </c>
      <c r="E454" s="40">
        <v>44064</v>
      </c>
      <c r="F454" s="24">
        <v>23.48</v>
      </c>
      <c r="G454" s="81">
        <f t="shared" ref="G454:G517" si="15">F454/F453-1</f>
        <v>-3.4539473684210509E-2</v>
      </c>
      <c r="L454" s="40">
        <v>44064</v>
      </c>
      <c r="M454" s="43">
        <v>3.4410999999999999E-3</v>
      </c>
      <c r="N454" s="1">
        <v>-3.4539473684210509E-2</v>
      </c>
    </row>
    <row r="455" spans="2:14">
      <c r="B455" s="40">
        <v>44067</v>
      </c>
      <c r="C455" s="47">
        <v>3431.28</v>
      </c>
      <c r="D455" s="81">
        <f t="shared" si="14"/>
        <v>1.004368354743379E-2</v>
      </c>
      <c r="E455" s="40">
        <v>44067</v>
      </c>
      <c r="F455" s="24">
        <v>23.98</v>
      </c>
      <c r="G455" s="81">
        <f t="shared" si="15"/>
        <v>2.1294718909710353E-2</v>
      </c>
      <c r="L455" s="40">
        <v>44067</v>
      </c>
      <c r="M455" s="43">
        <v>1.0043699999999999E-2</v>
      </c>
      <c r="N455" s="1">
        <v>2.1294718909710353E-2</v>
      </c>
    </row>
    <row r="456" spans="2:14">
      <c r="B456" s="40">
        <v>44068</v>
      </c>
      <c r="C456" s="47">
        <v>3443.62</v>
      </c>
      <c r="D456" s="81">
        <f t="shared" si="14"/>
        <v>3.5963255694666518E-3</v>
      </c>
      <c r="E456" s="40">
        <v>44068</v>
      </c>
      <c r="F456" s="24">
        <v>24.309999000000001</v>
      </c>
      <c r="G456" s="81">
        <f t="shared" si="15"/>
        <v>1.3761426188490411E-2</v>
      </c>
      <c r="L456" s="40">
        <v>44068</v>
      </c>
      <c r="M456" s="43">
        <v>3.5963000000000002E-3</v>
      </c>
      <c r="N456" s="1">
        <v>1.3761426188490411E-2</v>
      </c>
    </row>
    <row r="457" spans="2:14">
      <c r="B457" s="40">
        <v>44069</v>
      </c>
      <c r="C457" s="47">
        <v>3478.73</v>
      </c>
      <c r="D457" s="81">
        <f t="shared" si="14"/>
        <v>1.0195666188487662E-2</v>
      </c>
      <c r="E457" s="40">
        <v>44069</v>
      </c>
      <c r="F457" s="24">
        <v>24.299999</v>
      </c>
      <c r="G457" s="81">
        <f t="shared" si="15"/>
        <v>-4.1135336945108403E-4</v>
      </c>
      <c r="L457" s="40">
        <v>44069</v>
      </c>
      <c r="M457" s="43">
        <v>1.01957E-2</v>
      </c>
      <c r="N457" s="1">
        <v>-4.1135336945108403E-4</v>
      </c>
    </row>
    <row r="458" spans="2:14">
      <c r="B458" s="40">
        <v>44070</v>
      </c>
      <c r="C458" s="47">
        <v>3484.55</v>
      </c>
      <c r="D458" s="81">
        <f t="shared" si="14"/>
        <v>1.6730243508407128E-3</v>
      </c>
      <c r="E458" s="40">
        <v>44070</v>
      </c>
      <c r="F458" s="24">
        <v>24.549999</v>
      </c>
      <c r="G458" s="81">
        <f t="shared" si="15"/>
        <v>1.028806626699863E-2</v>
      </c>
      <c r="L458" s="40">
        <v>44070</v>
      </c>
      <c r="M458" s="43">
        <v>1.673E-3</v>
      </c>
      <c r="N458" s="1">
        <v>1.028806626699863E-2</v>
      </c>
    </row>
    <row r="459" spans="2:14">
      <c r="B459" s="40">
        <v>44071</v>
      </c>
      <c r="C459" s="47">
        <v>3508.01</v>
      </c>
      <c r="D459" s="81">
        <f t="shared" si="14"/>
        <v>6.732576659826961E-3</v>
      </c>
      <c r="E459" s="40">
        <v>44071</v>
      </c>
      <c r="F459" s="24">
        <v>23.959999</v>
      </c>
      <c r="G459" s="81">
        <f t="shared" si="15"/>
        <v>-2.4032587536968908E-2</v>
      </c>
      <c r="L459" s="40">
        <v>44071</v>
      </c>
      <c r="M459" s="43">
        <v>6.7326E-3</v>
      </c>
      <c r="N459" s="1">
        <v>-2.4032587536968908E-2</v>
      </c>
    </row>
    <row r="460" spans="2:14">
      <c r="B460" s="40">
        <v>44074</v>
      </c>
      <c r="C460" s="47">
        <v>3500.31</v>
      </c>
      <c r="D460" s="81">
        <f t="shared" si="14"/>
        <v>-2.1949766391772263E-3</v>
      </c>
      <c r="E460" s="40">
        <v>44074</v>
      </c>
      <c r="F460" s="24">
        <v>23.35</v>
      </c>
      <c r="G460" s="81">
        <f t="shared" si="15"/>
        <v>-2.5459057823833731E-2</v>
      </c>
      <c r="L460" s="40">
        <v>44074</v>
      </c>
      <c r="M460" s="43">
        <v>-2.1949999999999999E-3</v>
      </c>
      <c r="N460" s="1">
        <v>-2.5459057823833731E-2</v>
      </c>
    </row>
    <row r="461" spans="2:14">
      <c r="B461" s="40">
        <v>44075</v>
      </c>
      <c r="C461" s="47">
        <v>3526.65</v>
      </c>
      <c r="D461" s="81">
        <f t="shared" si="14"/>
        <v>7.5250477814823302E-3</v>
      </c>
      <c r="E461" s="40">
        <v>44075</v>
      </c>
      <c r="F461" s="24">
        <v>23.5</v>
      </c>
      <c r="G461" s="81">
        <f t="shared" si="15"/>
        <v>6.4239828693790635E-3</v>
      </c>
      <c r="L461" s="40">
        <v>44075</v>
      </c>
      <c r="M461" s="43">
        <v>7.5249999999999996E-3</v>
      </c>
      <c r="N461" s="1">
        <v>6.4239828693790635E-3</v>
      </c>
    </row>
    <row r="462" spans="2:14">
      <c r="B462" s="40">
        <v>44076</v>
      </c>
      <c r="C462" s="47">
        <v>3580.84</v>
      </c>
      <c r="D462" s="81">
        <f t="shared" si="14"/>
        <v>1.5365857116526938E-2</v>
      </c>
      <c r="E462" s="40">
        <v>44076</v>
      </c>
      <c r="F462" s="24">
        <v>23.959999</v>
      </c>
      <c r="G462" s="81">
        <f t="shared" si="15"/>
        <v>1.9574425531914796E-2</v>
      </c>
      <c r="L462" s="40">
        <v>44076</v>
      </c>
      <c r="M462" s="43">
        <v>1.53659E-2</v>
      </c>
      <c r="N462" s="1">
        <v>1.9574425531914796E-2</v>
      </c>
    </row>
    <row r="463" spans="2:14">
      <c r="B463" s="40">
        <v>44077</v>
      </c>
      <c r="C463" s="47">
        <v>3455.06</v>
      </c>
      <c r="D463" s="81">
        <f t="shared" si="14"/>
        <v>-3.5125836395929477E-2</v>
      </c>
      <c r="E463" s="40">
        <v>44077</v>
      </c>
      <c r="F463" s="24">
        <v>23.190000999999999</v>
      </c>
      <c r="G463" s="81">
        <f t="shared" si="15"/>
        <v>-3.2136812693523087E-2</v>
      </c>
      <c r="L463" s="40">
        <v>44077</v>
      </c>
      <c r="M463" s="43">
        <v>-3.5125799999999999E-2</v>
      </c>
      <c r="N463" s="1">
        <v>-3.2136812693523087E-2</v>
      </c>
    </row>
    <row r="464" spans="2:14">
      <c r="B464" s="40">
        <v>44078</v>
      </c>
      <c r="C464" s="47">
        <v>3426.96</v>
      </c>
      <c r="D464" s="81">
        <f t="shared" si="14"/>
        <v>-8.1329991374968769E-3</v>
      </c>
      <c r="E464" s="40">
        <v>44078</v>
      </c>
      <c r="F464" s="24">
        <v>22.639999</v>
      </c>
      <c r="G464" s="81">
        <f t="shared" si="15"/>
        <v>-2.3717204669374548E-2</v>
      </c>
      <c r="L464" s="40">
        <v>44078</v>
      </c>
      <c r="M464" s="43">
        <v>-8.1329999999999996E-3</v>
      </c>
      <c r="N464" s="1">
        <v>-2.3717204669374548E-2</v>
      </c>
    </row>
    <row r="465" spans="2:14">
      <c r="B465" s="40">
        <v>44082</v>
      </c>
      <c r="C465" s="47">
        <v>3331.84</v>
      </c>
      <c r="D465" s="81">
        <f t="shared" si="14"/>
        <v>-2.7756378831384043E-2</v>
      </c>
      <c r="E465" s="40">
        <v>44082</v>
      </c>
      <c r="F465" s="24">
        <v>21.82</v>
      </c>
      <c r="G465" s="81">
        <f t="shared" si="15"/>
        <v>-3.6219038702254291E-2</v>
      </c>
      <c r="L465" s="40">
        <v>44082</v>
      </c>
      <c r="M465" s="43">
        <v>-2.7756400000000001E-2</v>
      </c>
      <c r="N465" s="1">
        <v>-3.6219038702254291E-2</v>
      </c>
    </row>
    <row r="466" spans="2:14">
      <c r="B466" s="40">
        <v>44083</v>
      </c>
      <c r="C466" s="47">
        <v>3398.96</v>
      </c>
      <c r="D466" s="81">
        <f t="shared" si="14"/>
        <v>2.0145024971186976E-2</v>
      </c>
      <c r="E466" s="40">
        <v>44083</v>
      </c>
      <c r="F466" s="24">
        <v>22.18</v>
      </c>
      <c r="G466" s="81">
        <f t="shared" si="15"/>
        <v>1.6498625114573784E-2</v>
      </c>
      <c r="L466" s="40">
        <v>44083</v>
      </c>
      <c r="M466" s="43">
        <v>2.0145E-2</v>
      </c>
      <c r="N466" s="1">
        <v>1.6498625114573784E-2</v>
      </c>
    </row>
    <row r="467" spans="2:14">
      <c r="B467" s="40">
        <v>44084</v>
      </c>
      <c r="C467" s="47">
        <v>3339.19</v>
      </c>
      <c r="D467" s="81">
        <f t="shared" si="14"/>
        <v>-1.7584790641843373E-2</v>
      </c>
      <c r="E467" s="40">
        <v>44084</v>
      </c>
      <c r="F467" s="24">
        <v>21.379999000000002</v>
      </c>
      <c r="G467" s="81">
        <f t="shared" si="15"/>
        <v>-3.6068575293056737E-2</v>
      </c>
      <c r="L467" s="40">
        <v>44084</v>
      </c>
      <c r="M467" s="43">
        <v>-1.7584800000000001E-2</v>
      </c>
      <c r="N467" s="1">
        <v>-3.6068575293056737E-2</v>
      </c>
    </row>
    <row r="468" spans="2:14">
      <c r="B468" s="40">
        <v>44085</v>
      </c>
      <c r="C468" s="47">
        <v>3340.97</v>
      </c>
      <c r="D468" s="81">
        <f t="shared" si="14"/>
        <v>5.3306340759284865E-4</v>
      </c>
      <c r="E468" s="40">
        <v>44085</v>
      </c>
      <c r="F468" s="24">
        <v>21.620000999999998</v>
      </c>
      <c r="G468" s="81">
        <f t="shared" si="15"/>
        <v>1.1225538410922997E-2</v>
      </c>
      <c r="L468" s="40">
        <v>44085</v>
      </c>
      <c r="M468" s="43">
        <v>5.331E-4</v>
      </c>
      <c r="N468" s="1">
        <v>1.1225538410922997E-2</v>
      </c>
    </row>
    <row r="469" spans="2:14">
      <c r="B469" s="40">
        <v>44088</v>
      </c>
      <c r="C469" s="47">
        <v>3383.54</v>
      </c>
      <c r="D469" s="81">
        <f t="shared" si="14"/>
        <v>1.274180851668838E-2</v>
      </c>
      <c r="E469" s="40">
        <v>44088</v>
      </c>
      <c r="F469" s="24">
        <v>21.07</v>
      </c>
      <c r="G469" s="81">
        <f t="shared" si="15"/>
        <v>-2.5439453032402692E-2</v>
      </c>
      <c r="L469" s="40">
        <v>44088</v>
      </c>
      <c r="M469" s="43">
        <v>1.2741799999999999E-2</v>
      </c>
      <c r="N469" s="1">
        <v>-2.5439453032402692E-2</v>
      </c>
    </row>
    <row r="470" spans="2:14">
      <c r="B470" s="40">
        <v>44089</v>
      </c>
      <c r="C470" s="47">
        <v>3401.2</v>
      </c>
      <c r="D470" s="81">
        <f t="shared" si="14"/>
        <v>5.2193856138835759E-3</v>
      </c>
      <c r="E470" s="40">
        <v>44089</v>
      </c>
      <c r="F470" s="24">
        <v>20.610001</v>
      </c>
      <c r="G470" s="81">
        <f t="shared" si="15"/>
        <v>-2.1831941148552469E-2</v>
      </c>
      <c r="L470" s="40">
        <v>44089</v>
      </c>
      <c r="M470" s="43">
        <v>5.2193999999999999E-3</v>
      </c>
      <c r="N470" s="1">
        <v>-2.1831941148552469E-2</v>
      </c>
    </row>
    <row r="471" spans="2:14">
      <c r="B471" s="40">
        <v>44090</v>
      </c>
      <c r="C471" s="47">
        <v>3385.49</v>
      </c>
      <c r="D471" s="81">
        <f t="shared" si="14"/>
        <v>-4.6189580148182641E-3</v>
      </c>
      <c r="E471" s="40">
        <v>44090</v>
      </c>
      <c r="F471" s="24">
        <v>20.309999000000001</v>
      </c>
      <c r="G471" s="81">
        <f t="shared" si="15"/>
        <v>-1.4556137090920074E-2</v>
      </c>
      <c r="L471" s="40">
        <v>44090</v>
      </c>
      <c r="M471" s="43">
        <v>-4.6189999999999998E-3</v>
      </c>
      <c r="N471" s="1">
        <v>-1.4556137090920074E-2</v>
      </c>
    </row>
    <row r="472" spans="2:14">
      <c r="B472" s="40">
        <v>44091</v>
      </c>
      <c r="C472" s="47">
        <v>3357.01</v>
      </c>
      <c r="D472" s="81">
        <f t="shared" si="14"/>
        <v>-8.4123716212423094E-3</v>
      </c>
      <c r="E472" s="40">
        <v>44091</v>
      </c>
      <c r="F472" s="24">
        <v>21.120000999999998</v>
      </c>
      <c r="G472" s="81">
        <f t="shared" si="15"/>
        <v>3.9881932047362234E-2</v>
      </c>
      <c r="L472" s="40">
        <v>44091</v>
      </c>
      <c r="M472" s="43">
        <v>-8.4124000000000004E-3</v>
      </c>
      <c r="N472" s="1">
        <v>3.9881932047362234E-2</v>
      </c>
    </row>
    <row r="473" spans="2:14">
      <c r="B473" s="40">
        <v>44092</v>
      </c>
      <c r="C473" s="47">
        <v>3319.47</v>
      </c>
      <c r="D473" s="81">
        <f t="shared" si="14"/>
        <v>-1.1182570203842279E-2</v>
      </c>
      <c r="E473" s="40">
        <v>44092</v>
      </c>
      <c r="F473" s="24">
        <v>20.67</v>
      </c>
      <c r="G473" s="81">
        <f t="shared" si="15"/>
        <v>-2.1306864521455138E-2</v>
      </c>
      <c r="L473" s="40">
        <v>44092</v>
      </c>
      <c r="M473" s="43">
        <v>-1.1182599999999999E-2</v>
      </c>
      <c r="N473" s="1">
        <v>-2.1306864521455138E-2</v>
      </c>
    </row>
    <row r="474" spans="2:14">
      <c r="B474" s="40">
        <v>44095</v>
      </c>
      <c r="C474" s="47">
        <v>3281.06</v>
      </c>
      <c r="D474" s="81">
        <f t="shared" si="14"/>
        <v>-1.1571124305988612E-2</v>
      </c>
      <c r="E474" s="40">
        <v>44095</v>
      </c>
      <c r="F474" s="24">
        <v>20.610001</v>
      </c>
      <c r="G474" s="81">
        <f t="shared" si="15"/>
        <v>-2.9027092404451116E-3</v>
      </c>
      <c r="L474" s="40">
        <v>44095</v>
      </c>
      <c r="M474" s="43">
        <v>-1.1571100000000001E-2</v>
      </c>
      <c r="N474" s="1">
        <v>-2.9027092404451116E-3</v>
      </c>
    </row>
    <row r="475" spans="2:14">
      <c r="B475" s="40">
        <v>44096</v>
      </c>
      <c r="C475" s="47">
        <v>3315.57</v>
      </c>
      <c r="D475" s="81">
        <f t="shared" si="14"/>
        <v>1.0517942372282096E-2</v>
      </c>
      <c r="E475" s="40">
        <v>44096</v>
      </c>
      <c r="F475" s="24">
        <v>20.690000999999999</v>
      </c>
      <c r="G475" s="81">
        <f t="shared" si="15"/>
        <v>3.881610680174008E-3</v>
      </c>
      <c r="L475" s="40">
        <v>44096</v>
      </c>
      <c r="M475" s="43">
        <v>1.05179E-2</v>
      </c>
      <c r="N475" s="1">
        <v>3.881610680174008E-3</v>
      </c>
    </row>
    <row r="476" spans="2:14">
      <c r="B476" s="40">
        <v>44097</v>
      </c>
      <c r="C476" s="47">
        <v>3236.92</v>
      </c>
      <c r="D476" s="81">
        <f t="shared" si="14"/>
        <v>-2.3721411401357861E-2</v>
      </c>
      <c r="E476" s="40">
        <v>44097</v>
      </c>
      <c r="F476" s="24">
        <v>20.639999</v>
      </c>
      <c r="G476" s="81">
        <f t="shared" si="15"/>
        <v>-2.416722937809368E-3</v>
      </c>
      <c r="L476" s="40">
        <v>44097</v>
      </c>
      <c r="M476" s="43">
        <v>-2.37214E-2</v>
      </c>
      <c r="N476" s="1">
        <v>-2.416722937809368E-3</v>
      </c>
    </row>
    <row r="477" spans="2:14">
      <c r="B477" s="40">
        <v>44098</v>
      </c>
      <c r="C477" s="47">
        <v>3246.59</v>
      </c>
      <c r="D477" s="81">
        <f t="shared" si="14"/>
        <v>2.9874077827070078E-3</v>
      </c>
      <c r="E477" s="40">
        <v>44098</v>
      </c>
      <c r="F477" s="24">
        <v>20.950001</v>
      </c>
      <c r="G477" s="81">
        <f t="shared" si="15"/>
        <v>1.5019477471873932E-2</v>
      </c>
      <c r="L477" s="40">
        <v>44098</v>
      </c>
      <c r="M477" s="43">
        <v>2.9873999999999999E-3</v>
      </c>
      <c r="N477" s="1">
        <v>1.5019477471873932E-2</v>
      </c>
    </row>
    <row r="478" spans="2:14">
      <c r="B478" s="40">
        <v>44099</v>
      </c>
      <c r="C478" s="47">
        <v>3298.46</v>
      </c>
      <c r="D478" s="81">
        <f t="shared" si="14"/>
        <v>1.5976763311659203E-2</v>
      </c>
      <c r="E478" s="40">
        <v>44099</v>
      </c>
      <c r="F478" s="24">
        <v>20.969999000000001</v>
      </c>
      <c r="G478" s="81">
        <f t="shared" si="15"/>
        <v>9.5455842699010418E-4</v>
      </c>
      <c r="L478" s="40">
        <v>44099</v>
      </c>
      <c r="M478" s="43">
        <v>1.5976799999999999E-2</v>
      </c>
      <c r="N478" s="1">
        <v>9.5455842699010418E-4</v>
      </c>
    </row>
    <row r="479" spans="2:14">
      <c r="B479" s="40">
        <v>44102</v>
      </c>
      <c r="C479" s="47">
        <v>3351.6</v>
      </c>
      <c r="D479" s="81">
        <f t="shared" si="14"/>
        <v>1.6110548559024496E-2</v>
      </c>
      <c r="E479" s="40">
        <v>44102</v>
      </c>
      <c r="F479" s="24">
        <v>21.18</v>
      </c>
      <c r="G479" s="81">
        <f t="shared" si="15"/>
        <v>1.0014354316373542E-2</v>
      </c>
      <c r="L479" s="40">
        <v>44102</v>
      </c>
      <c r="M479" s="43">
        <v>1.61105E-2</v>
      </c>
      <c r="N479" s="1">
        <v>1.0014354316373542E-2</v>
      </c>
    </row>
    <row r="480" spans="2:14">
      <c r="B480" s="40">
        <v>44103</v>
      </c>
      <c r="C480" s="47">
        <v>3335.47</v>
      </c>
      <c r="D480" s="81">
        <f t="shared" si="14"/>
        <v>-4.8126268051080778E-3</v>
      </c>
      <c r="E480" s="40">
        <v>44103</v>
      </c>
      <c r="F480" s="24">
        <v>21.120000999999998</v>
      </c>
      <c r="G480" s="81">
        <f t="shared" si="15"/>
        <v>-2.8328139754485449E-3</v>
      </c>
      <c r="L480" s="40">
        <v>44103</v>
      </c>
      <c r="M480" s="43">
        <v>-4.8126000000000002E-3</v>
      </c>
      <c r="N480" s="1">
        <v>-2.8328139754485449E-3</v>
      </c>
    </row>
    <row r="481" spans="2:14">
      <c r="B481" s="40">
        <v>44104</v>
      </c>
      <c r="C481" s="47">
        <v>3363</v>
      </c>
      <c r="D481" s="81">
        <f t="shared" si="14"/>
        <v>8.2537093722925281E-3</v>
      </c>
      <c r="E481" s="40">
        <v>44104</v>
      </c>
      <c r="F481" s="24">
        <v>20.93</v>
      </c>
      <c r="G481" s="81">
        <f t="shared" si="15"/>
        <v>-8.9962590437376866E-3</v>
      </c>
      <c r="L481" s="40">
        <v>44104</v>
      </c>
      <c r="M481" s="43">
        <v>8.2536999999999992E-3</v>
      </c>
      <c r="N481" s="1">
        <v>-8.9962590437376866E-3</v>
      </c>
    </row>
    <row r="482" spans="2:14">
      <c r="B482" s="40">
        <v>44105</v>
      </c>
      <c r="C482" s="47">
        <v>3380.8</v>
      </c>
      <c r="D482" s="81">
        <f t="shared" si="14"/>
        <v>5.2928932500744263E-3</v>
      </c>
      <c r="E482" s="40">
        <v>44105</v>
      </c>
      <c r="F482" s="24">
        <v>21.16</v>
      </c>
      <c r="G482" s="81">
        <f t="shared" si="15"/>
        <v>1.098901098901095E-2</v>
      </c>
      <c r="L482" s="40">
        <v>44105</v>
      </c>
      <c r="M482" s="43">
        <v>5.2928999999999997E-3</v>
      </c>
      <c r="N482" s="1">
        <v>1.098901098901095E-2</v>
      </c>
    </row>
    <row r="483" spans="2:14">
      <c r="B483" s="40">
        <v>44106</v>
      </c>
      <c r="C483" s="47">
        <v>3348.44</v>
      </c>
      <c r="D483" s="81">
        <f t="shared" si="14"/>
        <v>-9.571699006152401E-3</v>
      </c>
      <c r="E483" s="40">
        <v>44106</v>
      </c>
      <c r="F483" s="24">
        <v>20.690000999999999</v>
      </c>
      <c r="G483" s="81">
        <f t="shared" si="15"/>
        <v>-2.2211672967863971E-2</v>
      </c>
      <c r="L483" s="40">
        <v>44106</v>
      </c>
      <c r="M483" s="43">
        <v>-9.5717000000000007E-3</v>
      </c>
      <c r="N483" s="1">
        <v>-2.2211672967863971E-2</v>
      </c>
    </row>
    <row r="484" spans="2:14">
      <c r="B484" s="40">
        <v>44109</v>
      </c>
      <c r="C484" s="47">
        <v>3408.63</v>
      </c>
      <c r="D484" s="81">
        <f t="shared" si="14"/>
        <v>1.7975534875942278E-2</v>
      </c>
      <c r="E484" s="40">
        <v>44109</v>
      </c>
      <c r="F484" s="24">
        <v>21.34</v>
      </c>
      <c r="G484" s="81">
        <f t="shared" si="15"/>
        <v>3.1416093213335383E-2</v>
      </c>
      <c r="L484" s="40">
        <v>44109</v>
      </c>
      <c r="M484" s="43">
        <v>1.7975499999999998E-2</v>
      </c>
      <c r="N484" s="1">
        <v>3.1416093213335383E-2</v>
      </c>
    </row>
    <row r="485" spans="2:14">
      <c r="B485" s="40">
        <v>44110</v>
      </c>
      <c r="C485" s="47">
        <v>3360.95</v>
      </c>
      <c r="D485" s="81">
        <f t="shared" si="14"/>
        <v>-1.3988024514247743E-2</v>
      </c>
      <c r="E485" s="40">
        <v>44110</v>
      </c>
      <c r="F485" s="24">
        <v>21.09</v>
      </c>
      <c r="G485" s="81">
        <f t="shared" si="15"/>
        <v>-1.1715089034676662E-2</v>
      </c>
      <c r="L485" s="40">
        <v>44110</v>
      </c>
      <c r="M485" s="43">
        <v>-1.3988E-2</v>
      </c>
      <c r="N485" s="1">
        <v>-1.1715089034676662E-2</v>
      </c>
    </row>
    <row r="486" spans="2:14">
      <c r="B486" s="40">
        <v>44111</v>
      </c>
      <c r="C486" s="47">
        <v>3419.45</v>
      </c>
      <c r="D486" s="81">
        <f t="shared" si="14"/>
        <v>1.740579300495404E-2</v>
      </c>
      <c r="E486" s="40">
        <v>44111</v>
      </c>
      <c r="F486" s="24">
        <v>21.17</v>
      </c>
      <c r="G486" s="81">
        <f t="shared" si="15"/>
        <v>3.7932669511617778E-3</v>
      </c>
      <c r="L486" s="40">
        <v>44111</v>
      </c>
      <c r="M486" s="43">
        <v>1.7405799999999999E-2</v>
      </c>
      <c r="N486" s="1">
        <v>3.7932669511617778E-3</v>
      </c>
    </row>
    <row r="487" spans="2:14">
      <c r="B487" s="40">
        <v>44112</v>
      </c>
      <c r="C487" s="47">
        <v>3446.83</v>
      </c>
      <c r="D487" s="81">
        <f t="shared" si="14"/>
        <v>8.0071356504700653E-3</v>
      </c>
      <c r="E487" s="40">
        <v>44112</v>
      </c>
      <c r="F487" s="24">
        <v>21.290001</v>
      </c>
      <c r="G487" s="81">
        <f t="shared" si="15"/>
        <v>5.6684459140292631E-3</v>
      </c>
      <c r="L487" s="40">
        <v>44112</v>
      </c>
      <c r="M487" s="43">
        <v>8.0070999999999996E-3</v>
      </c>
      <c r="N487" s="1">
        <v>5.6684459140292631E-3</v>
      </c>
    </row>
    <row r="488" spans="2:14">
      <c r="B488" s="40">
        <v>44113</v>
      </c>
      <c r="C488" s="47">
        <v>3477.13</v>
      </c>
      <c r="D488" s="81">
        <f t="shared" si="14"/>
        <v>8.7906859346125188E-3</v>
      </c>
      <c r="E488" s="40">
        <v>44113</v>
      </c>
      <c r="F488" s="24">
        <v>21.790001</v>
      </c>
      <c r="G488" s="81">
        <f t="shared" si="15"/>
        <v>2.3485203218168049E-2</v>
      </c>
      <c r="L488" s="40">
        <v>44113</v>
      </c>
      <c r="M488" s="43">
        <v>8.7907000000000002E-3</v>
      </c>
      <c r="N488" s="1">
        <v>2.3485203218168049E-2</v>
      </c>
    </row>
    <row r="489" spans="2:14">
      <c r="B489" s="40">
        <v>44116</v>
      </c>
      <c r="C489" s="47">
        <v>3534.22</v>
      </c>
      <c r="D489" s="81">
        <f t="shared" si="14"/>
        <v>1.6418713134107588E-2</v>
      </c>
      <c r="E489" s="40">
        <v>44116</v>
      </c>
      <c r="F489" s="24">
        <v>21.57</v>
      </c>
      <c r="G489" s="81">
        <f t="shared" si="15"/>
        <v>-1.009641991296828E-2</v>
      </c>
      <c r="L489" s="40">
        <v>44116</v>
      </c>
      <c r="M489" s="43">
        <v>1.6418700000000001E-2</v>
      </c>
      <c r="N489" s="1">
        <v>-1.009641991296828E-2</v>
      </c>
    </row>
    <row r="490" spans="2:14">
      <c r="B490" s="40">
        <v>44117</v>
      </c>
      <c r="C490" s="47">
        <v>3511.93</v>
      </c>
      <c r="D490" s="81">
        <f t="shared" si="14"/>
        <v>-6.3069078891523356E-3</v>
      </c>
      <c r="E490" s="40">
        <v>44117</v>
      </c>
      <c r="F490" s="24">
        <v>21.91</v>
      </c>
      <c r="G490" s="81">
        <f t="shared" si="15"/>
        <v>1.5762633286972694E-2</v>
      </c>
      <c r="L490" s="40">
        <v>44117</v>
      </c>
      <c r="M490" s="43">
        <v>-6.3068999999999998E-3</v>
      </c>
      <c r="N490" s="1">
        <v>1.5762633286972694E-2</v>
      </c>
    </row>
    <row r="491" spans="2:14">
      <c r="B491" s="40">
        <v>44118</v>
      </c>
      <c r="C491" s="47">
        <v>3488.67</v>
      </c>
      <c r="D491" s="81">
        <f t="shared" si="14"/>
        <v>-6.623138843883547E-3</v>
      </c>
      <c r="E491" s="40">
        <v>44118</v>
      </c>
      <c r="F491" s="24">
        <v>21.66</v>
      </c>
      <c r="G491" s="81">
        <f t="shared" si="15"/>
        <v>-1.1410314924691911E-2</v>
      </c>
      <c r="L491" s="40">
        <v>44118</v>
      </c>
      <c r="M491" s="43">
        <v>-6.6230999999999998E-3</v>
      </c>
      <c r="N491" s="1">
        <v>-1.1410314924691911E-2</v>
      </c>
    </row>
    <row r="492" spans="2:14">
      <c r="B492" s="40">
        <v>44119</v>
      </c>
      <c r="C492" s="47">
        <v>3483.34</v>
      </c>
      <c r="D492" s="81">
        <f t="shared" si="14"/>
        <v>-1.5278028589691406E-3</v>
      </c>
      <c r="E492" s="40">
        <v>44119</v>
      </c>
      <c r="F492" s="24">
        <v>21.799999</v>
      </c>
      <c r="G492" s="81">
        <f t="shared" si="15"/>
        <v>6.4634810710988422E-3</v>
      </c>
      <c r="L492" s="40">
        <v>44119</v>
      </c>
      <c r="M492" s="43">
        <v>-1.5277999999999999E-3</v>
      </c>
      <c r="N492" s="1">
        <v>6.4634810710988422E-3</v>
      </c>
    </row>
    <row r="493" spans="2:14">
      <c r="B493" s="40">
        <v>44120</v>
      </c>
      <c r="C493" s="47">
        <v>3483.81</v>
      </c>
      <c r="D493" s="81">
        <f t="shared" si="14"/>
        <v>1.3492797142955482E-4</v>
      </c>
      <c r="E493" s="40">
        <v>44120</v>
      </c>
      <c r="F493" s="24">
        <v>21.879999000000002</v>
      </c>
      <c r="G493" s="81">
        <f t="shared" si="15"/>
        <v>3.6697249389783249E-3</v>
      </c>
      <c r="L493" s="40">
        <v>44120</v>
      </c>
      <c r="M493" s="43">
        <v>1.349E-4</v>
      </c>
      <c r="N493" s="1">
        <v>3.6697249389783249E-3</v>
      </c>
    </row>
    <row r="494" spans="2:14">
      <c r="B494" s="40">
        <v>44123</v>
      </c>
      <c r="C494" s="47">
        <v>3426.92</v>
      </c>
      <c r="D494" s="81">
        <f t="shared" si="14"/>
        <v>-1.6329822808936134E-2</v>
      </c>
      <c r="E494" s="40">
        <v>44123</v>
      </c>
      <c r="F494" s="24">
        <v>21.389999</v>
      </c>
      <c r="G494" s="81">
        <f t="shared" si="15"/>
        <v>-2.2394882193550458E-2</v>
      </c>
      <c r="L494" s="40">
        <v>44123</v>
      </c>
      <c r="M494" s="43">
        <v>-1.6329799999999998E-2</v>
      </c>
      <c r="N494" s="1">
        <v>-2.2394882193550458E-2</v>
      </c>
    </row>
    <row r="495" spans="2:14">
      <c r="B495" s="40">
        <v>44124</v>
      </c>
      <c r="C495" s="47">
        <v>3443.12</v>
      </c>
      <c r="D495" s="81">
        <f t="shared" si="14"/>
        <v>4.7272769717412455E-3</v>
      </c>
      <c r="E495" s="40">
        <v>44124</v>
      </c>
      <c r="F495" s="24">
        <v>21.32</v>
      </c>
      <c r="G495" s="81">
        <f t="shared" si="15"/>
        <v>-3.2725106719265762E-3</v>
      </c>
      <c r="L495" s="40">
        <v>44124</v>
      </c>
      <c r="M495" s="43">
        <v>4.7273000000000003E-3</v>
      </c>
      <c r="N495" s="1">
        <v>-3.2725106719265762E-3</v>
      </c>
    </row>
    <row r="496" spans="2:14">
      <c r="B496" s="40">
        <v>44125</v>
      </c>
      <c r="C496" s="47">
        <v>3435.56</v>
      </c>
      <c r="D496" s="81">
        <f t="shared" si="14"/>
        <v>-2.1956829851994542E-3</v>
      </c>
      <c r="E496" s="40">
        <v>44125</v>
      </c>
      <c r="F496" s="24">
        <v>21.41</v>
      </c>
      <c r="G496" s="81">
        <f t="shared" si="15"/>
        <v>4.2213883677297837E-3</v>
      </c>
      <c r="L496" s="40">
        <v>44125</v>
      </c>
      <c r="M496" s="43">
        <v>-2.1957000000000001E-3</v>
      </c>
      <c r="N496" s="1">
        <v>4.2213883677297837E-3</v>
      </c>
    </row>
    <row r="497" spans="2:14">
      <c r="B497" s="40">
        <v>44126</v>
      </c>
      <c r="C497" s="47">
        <v>3453.49</v>
      </c>
      <c r="D497" s="81">
        <f t="shared" si="14"/>
        <v>5.2189453829942778E-3</v>
      </c>
      <c r="E497" s="40">
        <v>44126</v>
      </c>
      <c r="F497" s="24">
        <v>20.85</v>
      </c>
      <c r="G497" s="81">
        <f t="shared" si="15"/>
        <v>-2.6156001868285816E-2</v>
      </c>
      <c r="L497" s="40">
        <v>44126</v>
      </c>
      <c r="M497" s="43">
        <v>5.2189000000000003E-3</v>
      </c>
      <c r="N497" s="1">
        <v>-2.6156001868285816E-2</v>
      </c>
    </row>
    <row r="498" spans="2:14">
      <c r="B498" s="40">
        <v>44127</v>
      </c>
      <c r="C498" s="47">
        <v>3465.39</v>
      </c>
      <c r="D498" s="81">
        <f t="shared" si="14"/>
        <v>3.4457896215134287E-3</v>
      </c>
      <c r="E498" s="40">
        <v>44127</v>
      </c>
      <c r="F498" s="24">
        <v>20.67</v>
      </c>
      <c r="G498" s="81">
        <f t="shared" si="15"/>
        <v>-8.6330935251798246E-3</v>
      </c>
      <c r="L498" s="40">
        <v>44127</v>
      </c>
      <c r="M498" s="43">
        <v>3.4458000000000002E-3</v>
      </c>
      <c r="N498" s="1">
        <v>-8.6330935251798246E-3</v>
      </c>
    </row>
    <row r="499" spans="2:14">
      <c r="B499" s="40">
        <v>44130</v>
      </c>
      <c r="C499" s="47">
        <v>3400.97</v>
      </c>
      <c r="D499" s="81">
        <f t="shared" si="14"/>
        <v>-1.8589538262648642E-2</v>
      </c>
      <c r="E499" s="40">
        <v>44130</v>
      </c>
      <c r="F499" s="24">
        <v>20.82</v>
      </c>
      <c r="G499" s="81">
        <f t="shared" si="15"/>
        <v>7.2568940493467071E-3</v>
      </c>
      <c r="L499" s="40">
        <v>44130</v>
      </c>
      <c r="M499" s="43">
        <v>-1.8589499999999998E-2</v>
      </c>
      <c r="N499" s="1">
        <v>7.2568940493467071E-3</v>
      </c>
    </row>
    <row r="500" spans="2:14">
      <c r="B500" s="40">
        <v>44131</v>
      </c>
      <c r="C500" s="47">
        <v>3390.68</v>
      </c>
      <c r="D500" s="81">
        <f t="shared" si="14"/>
        <v>-3.0256074002417144E-3</v>
      </c>
      <c r="E500" s="40">
        <v>44131</v>
      </c>
      <c r="F500" s="24">
        <v>20.399999999999999</v>
      </c>
      <c r="G500" s="81">
        <f t="shared" si="15"/>
        <v>-2.0172910662824339E-2</v>
      </c>
      <c r="L500" s="40">
        <v>44131</v>
      </c>
      <c r="M500" s="43">
        <v>-3.0255999999999998E-3</v>
      </c>
      <c r="N500" s="1">
        <v>-2.0172910662824339E-2</v>
      </c>
    </row>
    <row r="501" spans="2:14">
      <c r="B501" s="40">
        <v>44132</v>
      </c>
      <c r="C501" s="47">
        <v>3271.03</v>
      </c>
      <c r="D501" s="81">
        <f t="shared" si="14"/>
        <v>-3.5287906850543171E-2</v>
      </c>
      <c r="E501" s="40">
        <v>44132</v>
      </c>
      <c r="F501" s="24">
        <v>20.329999999999998</v>
      </c>
      <c r="G501" s="81">
        <f t="shared" si="15"/>
        <v>-3.4313725490195957E-3</v>
      </c>
      <c r="L501" s="40">
        <v>44132</v>
      </c>
      <c r="M501" s="43">
        <v>-3.5287899999999997E-2</v>
      </c>
      <c r="N501" s="1">
        <v>-3.4313725490195957E-3</v>
      </c>
    </row>
    <row r="502" spans="2:14">
      <c r="B502" s="40">
        <v>44133</v>
      </c>
      <c r="C502" s="47">
        <v>3310.11</v>
      </c>
      <c r="D502" s="81">
        <f t="shared" si="14"/>
        <v>1.1947307117329942E-2</v>
      </c>
      <c r="E502" s="40">
        <v>44133</v>
      </c>
      <c r="F502" s="24">
        <v>19.48</v>
      </c>
      <c r="G502" s="81">
        <f t="shared" si="15"/>
        <v>-4.1810132808657086E-2</v>
      </c>
      <c r="L502" s="40">
        <v>44133</v>
      </c>
      <c r="M502" s="43">
        <v>1.1947299999999999E-2</v>
      </c>
      <c r="N502" s="1">
        <v>-4.1810132808657086E-2</v>
      </c>
    </row>
    <row r="503" spans="2:14">
      <c r="B503" s="40">
        <v>44134</v>
      </c>
      <c r="C503" s="47">
        <v>3269.96</v>
      </c>
      <c r="D503" s="81">
        <f t="shared" si="14"/>
        <v>-1.2129506270184387E-2</v>
      </c>
      <c r="E503" s="40">
        <v>44134</v>
      </c>
      <c r="F503" s="24">
        <v>19.049999</v>
      </c>
      <c r="G503" s="81">
        <f t="shared" si="15"/>
        <v>-2.2073973305954842E-2</v>
      </c>
      <c r="L503" s="40">
        <v>44134</v>
      </c>
      <c r="M503" s="43">
        <v>-1.21295E-2</v>
      </c>
      <c r="N503" s="1">
        <v>-2.2073973305954842E-2</v>
      </c>
    </row>
    <row r="504" spans="2:14">
      <c r="B504" s="40">
        <v>44137</v>
      </c>
      <c r="C504" s="47">
        <v>3310.24</v>
      </c>
      <c r="D504" s="81">
        <f t="shared" si="14"/>
        <v>1.231819349472163E-2</v>
      </c>
      <c r="E504" s="40">
        <v>44137</v>
      </c>
      <c r="F504" s="24">
        <v>18.59</v>
      </c>
      <c r="G504" s="81">
        <f t="shared" si="15"/>
        <v>-2.4146930401413691E-2</v>
      </c>
      <c r="L504" s="40">
        <v>44137</v>
      </c>
      <c r="M504" s="43">
        <v>1.23182E-2</v>
      </c>
      <c r="N504" s="1">
        <v>-2.4146930401413691E-2</v>
      </c>
    </row>
    <row r="505" spans="2:14">
      <c r="B505" s="40">
        <v>44138</v>
      </c>
      <c r="C505" s="47">
        <v>3369.02</v>
      </c>
      <c r="D505" s="81">
        <f t="shared" si="14"/>
        <v>1.7757020638986987E-2</v>
      </c>
      <c r="E505" s="40">
        <v>44138</v>
      </c>
      <c r="F505" s="24">
        <v>19.799999</v>
      </c>
      <c r="G505" s="81">
        <f t="shared" si="15"/>
        <v>6.5088703604088138E-2</v>
      </c>
      <c r="L505" s="40">
        <v>44138</v>
      </c>
      <c r="M505" s="43">
        <v>1.7756999999999998E-2</v>
      </c>
      <c r="N505" s="1">
        <v>6.5088703604088138E-2</v>
      </c>
    </row>
    <row r="506" spans="2:14">
      <c r="B506" s="40">
        <v>44139</v>
      </c>
      <c r="C506" s="47">
        <v>3443.44</v>
      </c>
      <c r="D506" s="81">
        <f t="shared" si="14"/>
        <v>2.2089509709054989E-2</v>
      </c>
      <c r="E506" s="40">
        <v>44139</v>
      </c>
      <c r="F506" s="24">
        <v>19.809999000000001</v>
      </c>
      <c r="G506" s="81">
        <f t="shared" si="15"/>
        <v>5.0505053055815985E-4</v>
      </c>
      <c r="L506" s="40">
        <v>44139</v>
      </c>
      <c r="M506" s="43">
        <v>2.2089500000000001E-2</v>
      </c>
      <c r="N506" s="1">
        <v>5.0505053055815985E-4</v>
      </c>
    </row>
    <row r="507" spans="2:14">
      <c r="B507" s="40">
        <v>44140</v>
      </c>
      <c r="C507" s="47">
        <v>3510.45</v>
      </c>
      <c r="D507" s="81">
        <f t="shared" si="14"/>
        <v>1.9460190971818836E-2</v>
      </c>
      <c r="E507" s="40">
        <v>44140</v>
      </c>
      <c r="F507" s="24">
        <v>20.25</v>
      </c>
      <c r="G507" s="81">
        <f t="shared" si="15"/>
        <v>2.2211056143919938E-2</v>
      </c>
      <c r="L507" s="40">
        <v>44140</v>
      </c>
      <c r="M507" s="43">
        <v>1.94602E-2</v>
      </c>
      <c r="N507" s="1">
        <v>2.2211056143919938E-2</v>
      </c>
    </row>
    <row r="508" spans="2:14">
      <c r="B508" s="40">
        <v>44141</v>
      </c>
      <c r="C508" s="47">
        <v>3509.44</v>
      </c>
      <c r="D508" s="81">
        <f t="shared" si="14"/>
        <v>-2.8771240154390476E-4</v>
      </c>
      <c r="E508" s="40">
        <v>44141</v>
      </c>
      <c r="F508" s="24">
        <v>20.32</v>
      </c>
      <c r="G508" s="81">
        <f t="shared" si="15"/>
        <v>3.4567901234567877E-3</v>
      </c>
      <c r="L508" s="40">
        <v>44141</v>
      </c>
      <c r="M508" s="43">
        <v>-2.877E-4</v>
      </c>
      <c r="N508" s="1">
        <v>3.4567901234567877E-3</v>
      </c>
    </row>
    <row r="509" spans="2:14">
      <c r="B509" s="40">
        <v>44144</v>
      </c>
      <c r="C509" s="47">
        <v>3550.5</v>
      </c>
      <c r="D509" s="81">
        <f t="shared" si="14"/>
        <v>1.1699872344305584E-2</v>
      </c>
      <c r="E509" s="40">
        <v>44144</v>
      </c>
      <c r="F509" s="24">
        <v>19.559999000000001</v>
      </c>
      <c r="G509" s="81">
        <f t="shared" si="15"/>
        <v>-3.7401624015747981E-2</v>
      </c>
      <c r="L509" s="40">
        <v>44144</v>
      </c>
      <c r="M509" s="43">
        <v>1.1699899999999999E-2</v>
      </c>
      <c r="N509" s="1">
        <v>-3.7401624015747981E-2</v>
      </c>
    </row>
    <row r="510" spans="2:14">
      <c r="B510" s="40">
        <v>44145</v>
      </c>
      <c r="C510" s="47">
        <v>3545.53</v>
      </c>
      <c r="D510" s="81">
        <f t="shared" si="14"/>
        <v>-1.3998028446696731E-3</v>
      </c>
      <c r="E510" s="40">
        <v>44145</v>
      </c>
      <c r="F510" s="24">
        <v>20.010000000000002</v>
      </c>
      <c r="G510" s="81">
        <f t="shared" si="15"/>
        <v>2.3006187270254941E-2</v>
      </c>
      <c r="L510" s="40">
        <v>44145</v>
      </c>
      <c r="M510" s="43">
        <v>-1.3998000000000001E-3</v>
      </c>
      <c r="N510" s="1">
        <v>2.3006187270254941E-2</v>
      </c>
    </row>
    <row r="511" spans="2:14">
      <c r="B511" s="40">
        <v>44146</v>
      </c>
      <c r="C511" s="47">
        <v>3572.66</v>
      </c>
      <c r="D511" s="81">
        <f t="shared" si="14"/>
        <v>7.6518884341691962E-3</v>
      </c>
      <c r="E511" s="40">
        <v>44146</v>
      </c>
      <c r="F511" s="24">
        <v>20.16</v>
      </c>
      <c r="G511" s="81">
        <f t="shared" si="15"/>
        <v>7.496251874062887E-3</v>
      </c>
      <c r="L511" s="40">
        <v>44146</v>
      </c>
      <c r="M511" s="43">
        <v>7.6518999999999997E-3</v>
      </c>
      <c r="N511" s="1">
        <v>7.496251874062887E-3</v>
      </c>
    </row>
    <row r="512" spans="2:14">
      <c r="B512" s="40">
        <v>44147</v>
      </c>
      <c r="C512" s="47">
        <v>3537.01</v>
      </c>
      <c r="D512" s="81">
        <f t="shared" si="14"/>
        <v>-9.9785593927212979E-3</v>
      </c>
      <c r="E512" s="40">
        <v>44147</v>
      </c>
      <c r="F512" s="24">
        <v>20.23</v>
      </c>
      <c r="G512" s="81">
        <f t="shared" si="15"/>
        <v>3.4722222222223209E-3</v>
      </c>
      <c r="L512" s="40">
        <v>44147</v>
      </c>
      <c r="M512" s="43">
        <v>-9.9786000000000007E-3</v>
      </c>
      <c r="N512" s="1">
        <v>3.4722222222223209E-3</v>
      </c>
    </row>
    <row r="513" spans="2:14">
      <c r="B513" s="40">
        <v>44148</v>
      </c>
      <c r="C513" s="47">
        <v>3585.15</v>
      </c>
      <c r="D513" s="81">
        <f t="shared" si="14"/>
        <v>1.3610365817456005E-2</v>
      </c>
      <c r="E513" s="40">
        <v>44148</v>
      </c>
      <c r="F513" s="24">
        <v>20.41</v>
      </c>
      <c r="G513" s="81">
        <f t="shared" si="15"/>
        <v>8.8976767177459948E-3</v>
      </c>
      <c r="L513" s="40">
        <v>44148</v>
      </c>
      <c r="M513" s="43">
        <v>1.36104E-2</v>
      </c>
      <c r="N513" s="1">
        <v>8.8976767177459948E-3</v>
      </c>
    </row>
    <row r="514" spans="2:14">
      <c r="B514" s="40">
        <v>44151</v>
      </c>
      <c r="C514" s="47">
        <v>3626.91</v>
      </c>
      <c r="D514" s="81">
        <f t="shared" si="14"/>
        <v>1.1648048198820149E-2</v>
      </c>
      <c r="E514" s="40">
        <v>44151</v>
      </c>
      <c r="F514" s="24">
        <v>20.350000000000001</v>
      </c>
      <c r="G514" s="81">
        <f t="shared" si="15"/>
        <v>-2.9397354238117623E-3</v>
      </c>
      <c r="L514" s="40">
        <v>44151</v>
      </c>
      <c r="M514" s="43">
        <v>1.1648E-2</v>
      </c>
      <c r="N514" s="1">
        <v>-2.9397354238117623E-3</v>
      </c>
    </row>
    <row r="515" spans="2:14">
      <c r="B515" s="40">
        <v>44152</v>
      </c>
      <c r="C515" s="47">
        <v>3609.53</v>
      </c>
      <c r="D515" s="81">
        <f t="shared" si="14"/>
        <v>-4.7919578925310624E-3</v>
      </c>
      <c r="E515" s="40">
        <v>44152</v>
      </c>
      <c r="F515" s="24">
        <v>20.32</v>
      </c>
      <c r="G515" s="81">
        <f t="shared" si="15"/>
        <v>-1.4742014742015197E-3</v>
      </c>
      <c r="L515" s="40">
        <v>44152</v>
      </c>
      <c r="M515" s="43">
        <v>-4.7920000000000003E-3</v>
      </c>
      <c r="N515" s="1">
        <v>-1.4742014742015197E-3</v>
      </c>
    </row>
    <row r="516" spans="2:14">
      <c r="B516" s="40">
        <v>44153</v>
      </c>
      <c r="C516" s="47">
        <v>3567.79</v>
      </c>
      <c r="D516" s="81">
        <f t="shared" si="14"/>
        <v>-1.156383241031389E-2</v>
      </c>
      <c r="E516" s="40">
        <v>44153</v>
      </c>
      <c r="F516" s="24">
        <v>19.73</v>
      </c>
      <c r="G516" s="81">
        <f t="shared" si="15"/>
        <v>-2.903543307086609E-2</v>
      </c>
      <c r="L516" s="40">
        <v>44153</v>
      </c>
      <c r="M516" s="43">
        <v>-1.1563800000000001E-2</v>
      </c>
      <c r="N516" s="1">
        <v>-2.903543307086609E-2</v>
      </c>
    </row>
    <row r="517" spans="2:14">
      <c r="B517" s="40">
        <v>44154</v>
      </c>
      <c r="C517" s="47">
        <v>3581.87</v>
      </c>
      <c r="D517" s="81">
        <f t="shared" si="14"/>
        <v>3.9464206133208446E-3</v>
      </c>
      <c r="E517" s="40">
        <v>44154</v>
      </c>
      <c r="F517" s="24">
        <v>20.280000999999999</v>
      </c>
      <c r="G517" s="81">
        <f t="shared" si="15"/>
        <v>2.7876381145463647E-2</v>
      </c>
      <c r="L517" s="40">
        <v>44154</v>
      </c>
      <c r="M517" s="43">
        <v>3.9464000000000001E-3</v>
      </c>
      <c r="N517" s="1">
        <v>2.7876381145463647E-2</v>
      </c>
    </row>
    <row r="518" spans="2:14">
      <c r="B518" s="40">
        <v>44155</v>
      </c>
      <c r="C518" s="47">
        <v>3557.54</v>
      </c>
      <c r="D518" s="81">
        <f t="shared" ref="D518:D581" si="16">C518/C517-1</f>
        <v>-6.7925413261787915E-3</v>
      </c>
      <c r="E518" s="40">
        <v>44155</v>
      </c>
      <c r="F518" s="24">
        <v>20.040001</v>
      </c>
      <c r="G518" s="81">
        <f t="shared" ref="G518:G581" si="17">F518/F517-1</f>
        <v>-1.1834318943080846E-2</v>
      </c>
      <c r="L518" s="40">
        <v>44155</v>
      </c>
      <c r="M518" s="43">
        <v>-6.7924999999999999E-3</v>
      </c>
      <c r="N518" s="1">
        <v>-1.1834318943080846E-2</v>
      </c>
    </row>
    <row r="519" spans="2:14">
      <c r="B519" s="40">
        <v>44158</v>
      </c>
      <c r="C519" s="47">
        <v>3577.59</v>
      </c>
      <c r="D519" s="81">
        <f t="shared" si="16"/>
        <v>5.6359169538502396E-3</v>
      </c>
      <c r="E519" s="40">
        <v>44158</v>
      </c>
      <c r="F519" s="24">
        <v>20.83</v>
      </c>
      <c r="G519" s="81">
        <f t="shared" si="17"/>
        <v>3.9421105817309954E-2</v>
      </c>
      <c r="L519" s="40">
        <v>44158</v>
      </c>
      <c r="M519" s="43">
        <v>5.6359000000000001E-3</v>
      </c>
      <c r="N519" s="1">
        <v>3.9421105817309954E-2</v>
      </c>
    </row>
    <row r="520" spans="2:14">
      <c r="B520" s="40">
        <v>44159</v>
      </c>
      <c r="C520" s="47">
        <v>3635.41</v>
      </c>
      <c r="D520" s="81">
        <f t="shared" si="16"/>
        <v>1.6161717804443754E-2</v>
      </c>
      <c r="E520" s="40">
        <v>44159</v>
      </c>
      <c r="F520" s="24">
        <v>20.780000999999999</v>
      </c>
      <c r="G520" s="81">
        <f t="shared" si="17"/>
        <v>-2.4003360537685481E-3</v>
      </c>
      <c r="L520" s="40">
        <v>44159</v>
      </c>
      <c r="M520" s="43">
        <v>1.6161700000000001E-2</v>
      </c>
      <c r="N520" s="1">
        <v>-2.4003360537685481E-3</v>
      </c>
    </row>
    <row r="521" spans="2:14">
      <c r="B521" s="40">
        <v>44160</v>
      </c>
      <c r="C521" s="47">
        <v>3629.65</v>
      </c>
      <c r="D521" s="81">
        <f t="shared" si="16"/>
        <v>-1.5844155129681736E-3</v>
      </c>
      <c r="E521" s="40">
        <v>44160</v>
      </c>
      <c r="F521" s="24">
        <v>20.299999</v>
      </c>
      <c r="G521" s="81">
        <f t="shared" si="17"/>
        <v>-2.3099228917265124E-2</v>
      </c>
      <c r="L521" s="40">
        <v>44160</v>
      </c>
      <c r="M521" s="43">
        <v>-1.5843999999999999E-3</v>
      </c>
      <c r="N521" s="1">
        <v>-2.3099228917265124E-2</v>
      </c>
    </row>
    <row r="522" spans="2:14">
      <c r="B522" s="40">
        <v>44162</v>
      </c>
      <c r="C522" s="47">
        <v>3638.35</v>
      </c>
      <c r="D522" s="81">
        <f t="shared" si="16"/>
        <v>2.3969253233782073E-3</v>
      </c>
      <c r="E522" s="40">
        <v>44162</v>
      </c>
      <c r="F522" s="24">
        <v>20.59</v>
      </c>
      <c r="G522" s="81">
        <f t="shared" si="17"/>
        <v>1.4285764250530297E-2</v>
      </c>
      <c r="L522" s="40">
        <v>44162</v>
      </c>
      <c r="M522" s="43">
        <v>2.3969E-3</v>
      </c>
      <c r="N522" s="1">
        <v>1.4285764250530297E-2</v>
      </c>
    </row>
    <row r="523" spans="2:14">
      <c r="B523" s="40">
        <v>44165</v>
      </c>
      <c r="C523" s="47">
        <v>3621.63</v>
      </c>
      <c r="D523" s="81">
        <f t="shared" si="16"/>
        <v>-4.5954897137437944E-3</v>
      </c>
      <c r="E523" s="40">
        <v>44165</v>
      </c>
      <c r="F523" s="24">
        <v>21.17</v>
      </c>
      <c r="G523" s="81">
        <f t="shared" si="17"/>
        <v>2.8169014084507227E-2</v>
      </c>
      <c r="L523" s="40">
        <v>44165</v>
      </c>
      <c r="M523" s="43">
        <v>-4.5954999999999998E-3</v>
      </c>
      <c r="N523" s="1">
        <v>2.8169014084507227E-2</v>
      </c>
    </row>
    <row r="524" spans="2:14">
      <c r="B524" s="40">
        <v>44166</v>
      </c>
      <c r="C524" s="47">
        <v>3662.45</v>
      </c>
      <c r="D524" s="81">
        <f t="shared" si="16"/>
        <v>1.1271167954760575E-2</v>
      </c>
      <c r="E524" s="40">
        <v>44166</v>
      </c>
      <c r="F524" s="24">
        <v>21.280000999999999</v>
      </c>
      <c r="G524" s="81">
        <f t="shared" si="17"/>
        <v>5.1960793575813735E-3</v>
      </c>
      <c r="L524" s="40">
        <v>44166</v>
      </c>
      <c r="M524" s="43">
        <v>1.12712E-2</v>
      </c>
      <c r="N524" s="1">
        <v>5.1960793575813735E-3</v>
      </c>
    </row>
    <row r="525" spans="2:14">
      <c r="B525" s="40">
        <v>44167</v>
      </c>
      <c r="C525" s="47">
        <v>3669.01</v>
      </c>
      <c r="D525" s="81">
        <f t="shared" si="16"/>
        <v>1.7911507324332998E-3</v>
      </c>
      <c r="E525" s="40">
        <v>44167</v>
      </c>
      <c r="F525" s="24">
        <v>20.719999000000001</v>
      </c>
      <c r="G525" s="81">
        <f t="shared" si="17"/>
        <v>-2.6315882221997877E-2</v>
      </c>
      <c r="L525" s="40">
        <v>44167</v>
      </c>
      <c r="M525" s="43">
        <v>1.7912E-3</v>
      </c>
      <c r="N525" s="1">
        <v>-2.6315882221997877E-2</v>
      </c>
    </row>
    <row r="526" spans="2:14">
      <c r="B526" s="40">
        <v>44168</v>
      </c>
      <c r="C526" s="47">
        <v>3666.72</v>
      </c>
      <c r="D526" s="81">
        <f t="shared" si="16"/>
        <v>-6.241465681479097E-4</v>
      </c>
      <c r="E526" s="40">
        <v>44168</v>
      </c>
      <c r="F526" s="24">
        <v>20.010000000000002</v>
      </c>
      <c r="G526" s="81">
        <f t="shared" si="17"/>
        <v>-3.4266362657642935E-2</v>
      </c>
      <c r="L526" s="40">
        <v>44168</v>
      </c>
      <c r="M526" s="43">
        <v>-6.2410000000000005E-4</v>
      </c>
      <c r="N526" s="1">
        <v>-3.4266362657642935E-2</v>
      </c>
    </row>
    <row r="527" spans="2:14">
      <c r="B527" s="40">
        <v>44169</v>
      </c>
      <c r="C527" s="47">
        <v>3699.12</v>
      </c>
      <c r="D527" s="81">
        <f t="shared" si="16"/>
        <v>8.8362351093074221E-3</v>
      </c>
      <c r="E527" s="40">
        <v>44169</v>
      </c>
      <c r="F527" s="24">
        <v>19.889999</v>
      </c>
      <c r="G527" s="81">
        <f t="shared" si="17"/>
        <v>-5.9970514742629932E-3</v>
      </c>
      <c r="L527" s="40">
        <v>44169</v>
      </c>
      <c r="M527" s="43">
        <v>8.8362000000000007E-3</v>
      </c>
      <c r="N527" s="1">
        <v>-5.9970514742629932E-3</v>
      </c>
    </row>
    <row r="528" spans="2:14">
      <c r="B528" s="40">
        <v>44172</v>
      </c>
      <c r="C528" s="47">
        <v>3691.96</v>
      </c>
      <c r="D528" s="81">
        <f t="shared" si="16"/>
        <v>-1.9355954929820562E-3</v>
      </c>
      <c r="E528" s="40">
        <v>44172</v>
      </c>
      <c r="F528" s="24">
        <v>19.93</v>
      </c>
      <c r="G528" s="81">
        <f t="shared" si="17"/>
        <v>2.0111112122227492E-3</v>
      </c>
      <c r="L528" s="40">
        <v>44172</v>
      </c>
      <c r="M528" s="43">
        <v>-1.9356E-3</v>
      </c>
      <c r="N528" s="1">
        <v>2.0111112122227492E-3</v>
      </c>
    </row>
    <row r="529" spans="2:14">
      <c r="B529" s="40">
        <v>44173</v>
      </c>
      <c r="C529" s="47">
        <v>3702.25</v>
      </c>
      <c r="D529" s="81">
        <f t="shared" si="16"/>
        <v>2.7871374554437889E-3</v>
      </c>
      <c r="E529" s="40">
        <v>44173</v>
      </c>
      <c r="F529" s="24">
        <v>20.100000000000001</v>
      </c>
      <c r="G529" s="81">
        <f t="shared" si="17"/>
        <v>8.5298544907175256E-3</v>
      </c>
      <c r="L529" s="40">
        <v>44173</v>
      </c>
      <c r="M529" s="43">
        <v>2.7870999999999998E-3</v>
      </c>
      <c r="N529" s="1">
        <v>8.5298544907175256E-3</v>
      </c>
    </row>
    <row r="530" spans="2:14">
      <c r="B530" s="40">
        <v>44174</v>
      </c>
      <c r="C530" s="47">
        <v>3672.82</v>
      </c>
      <c r="D530" s="81">
        <f t="shared" si="16"/>
        <v>-7.9492200688769943E-3</v>
      </c>
      <c r="E530" s="40">
        <v>44174</v>
      </c>
      <c r="F530" s="24">
        <v>20.030000999999999</v>
      </c>
      <c r="G530" s="81">
        <f t="shared" si="17"/>
        <v>-3.482537313432954E-3</v>
      </c>
      <c r="L530" s="40">
        <v>44174</v>
      </c>
      <c r="M530" s="43">
        <v>-7.9492E-3</v>
      </c>
      <c r="N530" s="1">
        <v>-3.482537313432954E-3</v>
      </c>
    </row>
    <row r="531" spans="2:14">
      <c r="B531" s="40">
        <v>44175</v>
      </c>
      <c r="C531" s="47">
        <v>3668.1</v>
      </c>
      <c r="D531" s="81">
        <f t="shared" si="16"/>
        <v>-1.2851160688518437E-3</v>
      </c>
      <c r="E531" s="40">
        <v>44175</v>
      </c>
      <c r="F531" s="24">
        <v>20.110001</v>
      </c>
      <c r="G531" s="81">
        <f t="shared" si="17"/>
        <v>3.9940087871190855E-3</v>
      </c>
      <c r="L531" s="40">
        <v>44175</v>
      </c>
      <c r="M531" s="43">
        <v>-1.2851E-3</v>
      </c>
      <c r="N531" s="1">
        <v>3.9940087871190855E-3</v>
      </c>
    </row>
    <row r="532" spans="2:14">
      <c r="B532" s="40">
        <v>44176</v>
      </c>
      <c r="C532" s="47">
        <v>3663.46</v>
      </c>
      <c r="D532" s="81">
        <f t="shared" si="16"/>
        <v>-1.264960061067022E-3</v>
      </c>
      <c r="E532" s="40">
        <v>44176</v>
      </c>
      <c r="F532" s="24">
        <v>19.690000999999999</v>
      </c>
      <c r="G532" s="81">
        <f t="shared" si="17"/>
        <v>-2.0885130736691737E-2</v>
      </c>
      <c r="L532" s="40">
        <v>44176</v>
      </c>
      <c r="M532" s="43">
        <v>-1.2650000000000001E-3</v>
      </c>
      <c r="N532" s="1">
        <v>-2.0885130736691737E-2</v>
      </c>
    </row>
    <row r="533" spans="2:14">
      <c r="B533" s="40">
        <v>44179</v>
      </c>
      <c r="C533" s="47">
        <v>3647.49</v>
      </c>
      <c r="D533" s="81">
        <f t="shared" si="16"/>
        <v>-4.359266922526861E-3</v>
      </c>
      <c r="E533" s="40">
        <v>44179</v>
      </c>
      <c r="F533" s="24">
        <v>19.440000999999999</v>
      </c>
      <c r="G533" s="81">
        <f t="shared" si="17"/>
        <v>-1.2696799761462652E-2</v>
      </c>
      <c r="L533" s="40">
        <v>44179</v>
      </c>
      <c r="M533" s="43">
        <v>-4.3593E-3</v>
      </c>
      <c r="N533" s="1">
        <v>-1.2696799761462652E-2</v>
      </c>
    </row>
    <row r="534" spans="2:14">
      <c r="B534" s="40">
        <v>44180</v>
      </c>
      <c r="C534" s="47">
        <v>3694.62</v>
      </c>
      <c r="D534" s="81">
        <f t="shared" si="16"/>
        <v>1.2921214314501217E-2</v>
      </c>
      <c r="E534" s="40">
        <v>44180</v>
      </c>
      <c r="F534" s="24">
        <v>19.799999</v>
      </c>
      <c r="G534" s="81">
        <f t="shared" si="17"/>
        <v>1.8518414685266826E-2</v>
      </c>
      <c r="L534" s="40">
        <v>44180</v>
      </c>
      <c r="M534" s="43">
        <v>1.2921200000000001E-2</v>
      </c>
      <c r="N534" s="1">
        <v>1.8518414685266826E-2</v>
      </c>
    </row>
    <row r="535" spans="2:14">
      <c r="B535" s="40">
        <v>44181</v>
      </c>
      <c r="C535" s="47">
        <v>3701.17</v>
      </c>
      <c r="D535" s="81">
        <f t="shared" si="16"/>
        <v>1.7728480872187813E-3</v>
      </c>
      <c r="E535" s="40">
        <v>44181</v>
      </c>
      <c r="F535" s="24">
        <v>19.940000999999999</v>
      </c>
      <c r="G535" s="81">
        <f t="shared" si="17"/>
        <v>7.070808437919629E-3</v>
      </c>
      <c r="L535" s="40">
        <v>44181</v>
      </c>
      <c r="M535" s="43">
        <v>1.7727999999999999E-3</v>
      </c>
      <c r="N535" s="1">
        <v>7.070808437919629E-3</v>
      </c>
    </row>
    <row r="536" spans="2:14">
      <c r="B536" s="40">
        <v>44182</v>
      </c>
      <c r="C536" s="47">
        <v>3722.48</v>
      </c>
      <c r="D536" s="81">
        <f t="shared" si="16"/>
        <v>5.7576388007034573E-3</v>
      </c>
      <c r="E536" s="40">
        <v>44182</v>
      </c>
      <c r="F536" s="24">
        <v>20.329999999999998</v>
      </c>
      <c r="G536" s="81">
        <f t="shared" si="17"/>
        <v>1.9558624896758969E-2</v>
      </c>
      <c r="L536" s="40">
        <v>44182</v>
      </c>
      <c r="M536" s="43">
        <v>5.7575999999999999E-3</v>
      </c>
      <c r="N536" s="1">
        <v>1.9558624896758969E-2</v>
      </c>
    </row>
    <row r="537" spans="2:14">
      <c r="B537" s="40">
        <v>44183</v>
      </c>
      <c r="C537" s="47">
        <v>3709.41</v>
      </c>
      <c r="D537" s="81">
        <f t="shared" si="16"/>
        <v>-3.5111001267972286E-3</v>
      </c>
      <c r="E537" s="40">
        <v>44183</v>
      </c>
      <c r="F537" s="24">
        <v>20.540001</v>
      </c>
      <c r="G537" s="81">
        <f t="shared" si="17"/>
        <v>1.0329611411706852E-2</v>
      </c>
      <c r="L537" s="40">
        <v>44183</v>
      </c>
      <c r="M537" s="43">
        <v>-3.5111000000000001E-3</v>
      </c>
      <c r="N537" s="1">
        <v>1.0329611411706852E-2</v>
      </c>
    </row>
    <row r="538" spans="2:14">
      <c r="B538" s="40">
        <v>44186</v>
      </c>
      <c r="C538" s="47">
        <v>3694.92</v>
      </c>
      <c r="D538" s="81">
        <f t="shared" si="16"/>
        <v>-3.9062815919512772E-3</v>
      </c>
      <c r="E538" s="40">
        <v>44186</v>
      </c>
      <c r="F538" s="24">
        <v>20.129999000000002</v>
      </c>
      <c r="G538" s="81">
        <f t="shared" si="17"/>
        <v>-1.99611480057863E-2</v>
      </c>
      <c r="L538" s="40">
        <v>44186</v>
      </c>
      <c r="M538" s="43">
        <v>-3.9062999999999997E-3</v>
      </c>
      <c r="N538" s="1">
        <v>-1.99611480057863E-2</v>
      </c>
    </row>
    <row r="539" spans="2:14">
      <c r="B539" s="40">
        <v>44187</v>
      </c>
      <c r="C539" s="47">
        <v>3687.26</v>
      </c>
      <c r="D539" s="81">
        <f t="shared" si="16"/>
        <v>-2.0731166033364223E-3</v>
      </c>
      <c r="E539" s="40">
        <v>44187</v>
      </c>
      <c r="F539" s="24">
        <v>20.209999</v>
      </c>
      <c r="G539" s="81">
        <f t="shared" si="17"/>
        <v>3.9741681060192491E-3</v>
      </c>
      <c r="L539" s="40">
        <v>44187</v>
      </c>
      <c r="M539" s="43">
        <v>-2.0731E-3</v>
      </c>
      <c r="N539" s="1">
        <v>3.9741681060192491E-3</v>
      </c>
    </row>
    <row r="540" spans="2:14">
      <c r="B540" s="40">
        <v>44188</v>
      </c>
      <c r="C540" s="47">
        <v>3690.01</v>
      </c>
      <c r="D540" s="81">
        <f t="shared" si="16"/>
        <v>7.4581125280026583E-4</v>
      </c>
      <c r="E540" s="40">
        <v>44188</v>
      </c>
      <c r="F540" s="24">
        <v>20.469999000000001</v>
      </c>
      <c r="G540" s="81">
        <f t="shared" si="17"/>
        <v>1.2864918993811036E-2</v>
      </c>
      <c r="L540" s="40">
        <v>44188</v>
      </c>
      <c r="M540" s="43">
        <v>7.4580000000000002E-4</v>
      </c>
      <c r="N540" s="1">
        <v>1.2864918993811036E-2</v>
      </c>
    </row>
    <row r="541" spans="2:14">
      <c r="B541" s="40">
        <v>44189</v>
      </c>
      <c r="C541" s="47">
        <v>3703.06</v>
      </c>
      <c r="D541" s="81">
        <f t="shared" si="16"/>
        <v>3.5365757816374632E-3</v>
      </c>
      <c r="E541" s="40">
        <v>44189</v>
      </c>
      <c r="F541" s="24">
        <v>20.290001</v>
      </c>
      <c r="G541" s="81">
        <f t="shared" si="17"/>
        <v>-8.7932588565344805E-3</v>
      </c>
      <c r="L541" s="40">
        <v>44189</v>
      </c>
      <c r="M541" s="43">
        <v>3.5366E-3</v>
      </c>
      <c r="N541" s="1">
        <v>-8.7932588565344805E-3</v>
      </c>
    </row>
    <row r="542" spans="2:14">
      <c r="B542" s="40">
        <v>44193</v>
      </c>
      <c r="C542" s="47">
        <v>3735.36</v>
      </c>
      <c r="D542" s="81">
        <f t="shared" si="16"/>
        <v>8.7225159732762236E-3</v>
      </c>
      <c r="E542" s="40">
        <v>44193</v>
      </c>
      <c r="F542" s="24">
        <v>20.57</v>
      </c>
      <c r="G542" s="81">
        <f t="shared" si="17"/>
        <v>1.3799851463782487E-2</v>
      </c>
      <c r="L542" s="40">
        <v>44193</v>
      </c>
      <c r="M542" s="43">
        <v>8.7224999999999994E-3</v>
      </c>
      <c r="N542" s="1">
        <v>1.3799851463782487E-2</v>
      </c>
    </row>
    <row r="543" spans="2:14">
      <c r="B543" s="40">
        <v>44194</v>
      </c>
      <c r="C543" s="47">
        <v>3727.04</v>
      </c>
      <c r="D543" s="81">
        <f t="shared" si="16"/>
        <v>-2.2273622890431888E-3</v>
      </c>
      <c r="E543" s="40">
        <v>44194</v>
      </c>
      <c r="F543" s="24">
        <v>20.530000999999999</v>
      </c>
      <c r="G543" s="81">
        <f t="shared" si="17"/>
        <v>-1.9445308701994124E-3</v>
      </c>
      <c r="L543" s="40">
        <v>44194</v>
      </c>
      <c r="M543" s="43">
        <v>-2.2274E-3</v>
      </c>
      <c r="N543" s="1">
        <v>-1.9445308701994124E-3</v>
      </c>
    </row>
    <row r="544" spans="2:14">
      <c r="B544" s="40">
        <v>44195</v>
      </c>
      <c r="C544" s="47">
        <v>3732.04</v>
      </c>
      <c r="D544" s="81">
        <f t="shared" si="16"/>
        <v>1.3415471795312772E-3</v>
      </c>
      <c r="E544" s="40">
        <v>44195</v>
      </c>
      <c r="F544" s="24">
        <v>20.120000999999998</v>
      </c>
      <c r="G544" s="81">
        <f t="shared" si="17"/>
        <v>-1.9970773503615535E-2</v>
      </c>
      <c r="L544" s="40">
        <v>44195</v>
      </c>
      <c r="M544" s="43">
        <v>1.3415E-3</v>
      </c>
      <c r="N544" s="1">
        <v>-1.9970773503615535E-2</v>
      </c>
    </row>
    <row r="545" spans="2:14">
      <c r="B545" s="40">
        <v>44196</v>
      </c>
      <c r="C545" s="47">
        <v>3756.07</v>
      </c>
      <c r="D545" s="81">
        <f t="shared" si="16"/>
        <v>6.4388377402171404E-3</v>
      </c>
      <c r="E545" s="40">
        <v>44196</v>
      </c>
      <c r="F545" s="24">
        <v>20.100000000000001</v>
      </c>
      <c r="G545" s="81">
        <f t="shared" si="17"/>
        <v>-9.9408543766954516E-4</v>
      </c>
      <c r="L545" s="40">
        <v>44196</v>
      </c>
      <c r="M545" s="43">
        <v>6.4387999999999997E-3</v>
      </c>
      <c r="N545" s="1">
        <v>-9.9408543766954516E-4</v>
      </c>
    </row>
    <row r="546" spans="2:14">
      <c r="B546" s="40">
        <v>44200</v>
      </c>
      <c r="C546" s="47">
        <v>3700.65</v>
      </c>
      <c r="D546" s="81">
        <f t="shared" si="16"/>
        <v>-1.475478359029514E-2</v>
      </c>
      <c r="E546" s="40">
        <v>44200</v>
      </c>
      <c r="F546" s="24">
        <v>20.23</v>
      </c>
      <c r="G546" s="81">
        <f t="shared" si="17"/>
        <v>6.4676616915422258E-3</v>
      </c>
      <c r="L546" s="40">
        <v>44200</v>
      </c>
      <c r="M546" s="43">
        <v>-1.47548E-2</v>
      </c>
      <c r="N546" s="1">
        <v>6.4676616915422258E-3</v>
      </c>
    </row>
    <row r="547" spans="2:14">
      <c r="B547" s="40">
        <v>44201</v>
      </c>
      <c r="C547" s="47">
        <v>3726.86</v>
      </c>
      <c r="D547" s="81">
        <f t="shared" si="16"/>
        <v>7.0825395538620661E-3</v>
      </c>
      <c r="E547" s="40">
        <v>44201</v>
      </c>
      <c r="F547" s="24">
        <v>20.18</v>
      </c>
      <c r="G547" s="81">
        <f t="shared" si="17"/>
        <v>-2.4715768660406034E-3</v>
      </c>
      <c r="L547" s="40">
        <v>44201</v>
      </c>
      <c r="M547" s="43">
        <v>7.0825000000000003E-3</v>
      </c>
      <c r="N547" s="1">
        <v>-2.4715768660406034E-3</v>
      </c>
    </row>
    <row r="548" spans="2:14">
      <c r="B548" s="40">
        <v>44202</v>
      </c>
      <c r="C548" s="47">
        <v>3748.14</v>
      </c>
      <c r="D548" s="81">
        <f t="shared" si="16"/>
        <v>5.7099005597205377E-3</v>
      </c>
      <c r="E548" s="40">
        <v>44202</v>
      </c>
      <c r="F548" s="24">
        <v>20.260000000000002</v>
      </c>
      <c r="G548" s="81">
        <f t="shared" si="17"/>
        <v>3.964321110009994E-3</v>
      </c>
      <c r="L548" s="40">
        <v>44202</v>
      </c>
      <c r="M548" s="43">
        <v>5.7099000000000004E-3</v>
      </c>
      <c r="N548" s="1">
        <v>3.964321110009994E-3</v>
      </c>
    </row>
    <row r="549" spans="2:14">
      <c r="B549" s="40">
        <v>44203</v>
      </c>
      <c r="C549" s="47">
        <v>3803.79</v>
      </c>
      <c r="D549" s="81">
        <f t="shared" si="16"/>
        <v>1.484736429268918E-2</v>
      </c>
      <c r="E549" s="40">
        <v>44203</v>
      </c>
      <c r="F549" s="24">
        <v>19.629999000000002</v>
      </c>
      <c r="G549" s="81">
        <f t="shared" si="17"/>
        <v>-3.1095804540967387E-2</v>
      </c>
      <c r="L549" s="40">
        <v>44203</v>
      </c>
      <c r="M549" s="43">
        <v>1.48474E-2</v>
      </c>
      <c r="N549" s="1">
        <v>-3.1095804540967387E-2</v>
      </c>
    </row>
    <row r="550" spans="2:14">
      <c r="B550" s="40">
        <v>44204</v>
      </c>
      <c r="C550" s="47">
        <v>3824.68</v>
      </c>
      <c r="D550" s="81">
        <f t="shared" si="16"/>
        <v>5.4918909824148709E-3</v>
      </c>
      <c r="E550" s="40">
        <v>44204</v>
      </c>
      <c r="F550" s="24">
        <v>19.420000000000002</v>
      </c>
      <c r="G550" s="81">
        <f t="shared" si="17"/>
        <v>-1.0697860962703087E-2</v>
      </c>
      <c r="L550" s="40">
        <v>44204</v>
      </c>
      <c r="M550" s="43">
        <v>5.4919000000000001E-3</v>
      </c>
      <c r="N550" s="1">
        <v>-1.0697860962703087E-2</v>
      </c>
    </row>
    <row r="551" spans="2:14">
      <c r="B551" s="40">
        <v>44207</v>
      </c>
      <c r="C551" s="47">
        <v>3799.61</v>
      </c>
      <c r="D551" s="81">
        <f t="shared" si="16"/>
        <v>-6.5547967411652142E-3</v>
      </c>
      <c r="E551" s="40">
        <v>44207</v>
      </c>
      <c r="F551" s="24">
        <v>19.48</v>
      </c>
      <c r="G551" s="81">
        <f t="shared" si="17"/>
        <v>3.0895983522141179E-3</v>
      </c>
      <c r="L551" s="40">
        <v>44207</v>
      </c>
      <c r="M551" s="43">
        <v>-6.5548000000000004E-3</v>
      </c>
      <c r="N551" s="1">
        <v>3.0895983522141179E-3</v>
      </c>
    </row>
    <row r="552" spans="2:14">
      <c r="B552" s="40">
        <v>44208</v>
      </c>
      <c r="C552" s="47">
        <v>3801.19</v>
      </c>
      <c r="D552" s="81">
        <f t="shared" si="16"/>
        <v>4.1583215119445072E-4</v>
      </c>
      <c r="E552" s="40">
        <v>44208</v>
      </c>
      <c r="F552" s="24">
        <v>19.690000999999999</v>
      </c>
      <c r="G552" s="81">
        <f t="shared" si="17"/>
        <v>1.078033880903484E-2</v>
      </c>
      <c r="L552" s="40">
        <v>44208</v>
      </c>
      <c r="M552" s="43">
        <v>4.1580000000000002E-4</v>
      </c>
      <c r="N552" s="1">
        <v>1.078033880903484E-2</v>
      </c>
    </row>
    <row r="553" spans="2:14">
      <c r="B553" s="40">
        <v>44209</v>
      </c>
      <c r="C553" s="47">
        <v>3809.84</v>
      </c>
      <c r="D553" s="81">
        <f t="shared" si="16"/>
        <v>2.2756031663768717E-3</v>
      </c>
      <c r="E553" s="40">
        <v>44209</v>
      </c>
      <c r="F553" s="24">
        <v>20.190000999999999</v>
      </c>
      <c r="G553" s="81">
        <f t="shared" si="17"/>
        <v>2.5393599522925303E-2</v>
      </c>
      <c r="L553" s="40">
        <v>44209</v>
      </c>
      <c r="M553" s="43">
        <v>2.2756E-3</v>
      </c>
      <c r="N553" s="1">
        <v>2.5393599522925303E-2</v>
      </c>
    </row>
    <row r="554" spans="2:14">
      <c r="B554" s="40">
        <v>44210</v>
      </c>
      <c r="C554" s="47">
        <v>3795.54</v>
      </c>
      <c r="D554" s="81">
        <f t="shared" si="16"/>
        <v>-3.753438464607517E-3</v>
      </c>
      <c r="E554" s="40">
        <v>44210</v>
      </c>
      <c r="F554" s="24">
        <v>20.469999000000001</v>
      </c>
      <c r="G554" s="81">
        <f t="shared" si="17"/>
        <v>1.386815186388568E-2</v>
      </c>
      <c r="L554" s="40">
        <v>44210</v>
      </c>
      <c r="M554" s="43">
        <v>-3.7534000000000001E-3</v>
      </c>
      <c r="N554" s="1">
        <v>1.386815186388568E-2</v>
      </c>
    </row>
    <row r="555" spans="2:14">
      <c r="B555" s="40">
        <v>44211</v>
      </c>
      <c r="C555" s="47">
        <v>3768.25</v>
      </c>
      <c r="D555" s="81">
        <f t="shared" si="16"/>
        <v>-7.1900177576840196E-3</v>
      </c>
      <c r="E555" s="40">
        <v>44211</v>
      </c>
      <c r="F555" s="24">
        <v>20.92</v>
      </c>
      <c r="G555" s="81">
        <f t="shared" si="17"/>
        <v>2.1983440253221298E-2</v>
      </c>
      <c r="L555" s="40">
        <v>44211</v>
      </c>
      <c r="M555" s="43">
        <v>-7.1900000000000002E-3</v>
      </c>
      <c r="N555" s="1">
        <v>2.1983440253221298E-2</v>
      </c>
    </row>
    <row r="556" spans="2:14">
      <c r="B556" s="40">
        <v>44215</v>
      </c>
      <c r="C556" s="47">
        <v>3798.91</v>
      </c>
      <c r="D556" s="81">
        <f t="shared" si="16"/>
        <v>8.136402839514334E-3</v>
      </c>
      <c r="E556" s="40">
        <v>44215</v>
      </c>
      <c r="F556" s="24">
        <v>21.190000999999999</v>
      </c>
      <c r="G556" s="81">
        <f t="shared" si="17"/>
        <v>1.2906357552581182E-2</v>
      </c>
      <c r="L556" s="40">
        <v>44215</v>
      </c>
      <c r="M556" s="43">
        <v>8.1364000000000002E-3</v>
      </c>
      <c r="N556" s="1">
        <v>1.2906357552581182E-2</v>
      </c>
    </row>
    <row r="557" spans="2:14">
      <c r="B557" s="40">
        <v>44216</v>
      </c>
      <c r="C557" s="47">
        <v>3851.85</v>
      </c>
      <c r="D557" s="81">
        <f t="shared" si="16"/>
        <v>1.3935576257400273E-2</v>
      </c>
      <c r="E557" s="40">
        <v>44216</v>
      </c>
      <c r="F557" s="24">
        <v>21.01</v>
      </c>
      <c r="G557" s="81">
        <f t="shared" si="17"/>
        <v>-8.4946197029437398E-3</v>
      </c>
      <c r="L557" s="40">
        <v>44216</v>
      </c>
      <c r="M557" s="43">
        <v>1.3935599999999999E-2</v>
      </c>
      <c r="N557" s="1">
        <v>-8.4946197029437398E-3</v>
      </c>
    </row>
    <row r="558" spans="2:14">
      <c r="B558" s="40">
        <v>44217</v>
      </c>
      <c r="C558" s="47">
        <v>3853.07</v>
      </c>
      <c r="D558" s="81">
        <f t="shared" si="16"/>
        <v>3.167309215053038E-4</v>
      </c>
      <c r="E558" s="40">
        <v>44217</v>
      </c>
      <c r="F558" s="24">
        <v>21.09</v>
      </c>
      <c r="G558" s="81">
        <f t="shared" si="17"/>
        <v>3.8077106139933203E-3</v>
      </c>
      <c r="L558" s="40">
        <v>44217</v>
      </c>
      <c r="M558" s="43">
        <v>3.167E-4</v>
      </c>
      <c r="N558" s="1">
        <v>3.8077106139933203E-3</v>
      </c>
    </row>
    <row r="559" spans="2:14">
      <c r="B559" s="40">
        <v>44218</v>
      </c>
      <c r="C559" s="47">
        <v>3841.47</v>
      </c>
      <c r="D559" s="81">
        <f t="shared" si="16"/>
        <v>-3.0105863636010755E-3</v>
      </c>
      <c r="E559" s="40">
        <v>44218</v>
      </c>
      <c r="F559" s="24">
        <v>21.41</v>
      </c>
      <c r="G559" s="81">
        <f t="shared" si="17"/>
        <v>1.5173067804646667E-2</v>
      </c>
      <c r="L559" s="40">
        <v>44218</v>
      </c>
      <c r="M559" s="43">
        <v>-3.0106E-3</v>
      </c>
      <c r="N559" s="1">
        <v>1.5173067804646667E-2</v>
      </c>
    </row>
    <row r="560" spans="2:14">
      <c r="B560" s="40">
        <v>44221</v>
      </c>
      <c r="C560" s="47">
        <v>3855.36</v>
      </c>
      <c r="D560" s="81">
        <f t="shared" si="16"/>
        <v>3.6158033252895461E-3</v>
      </c>
      <c r="E560" s="40">
        <v>44221</v>
      </c>
      <c r="F560" s="24">
        <v>22.27</v>
      </c>
      <c r="G560" s="81">
        <f t="shared" si="17"/>
        <v>4.0168145726296123E-2</v>
      </c>
      <c r="L560" s="40">
        <v>44221</v>
      </c>
      <c r="M560" s="43">
        <v>3.6158000000000002E-3</v>
      </c>
      <c r="N560" s="1">
        <v>4.0168145726296123E-2</v>
      </c>
    </row>
    <row r="561" spans="2:14">
      <c r="B561" s="40">
        <v>44222</v>
      </c>
      <c r="C561" s="47">
        <v>3849.62</v>
      </c>
      <c r="D561" s="81">
        <f t="shared" si="16"/>
        <v>-1.4888363213811928E-3</v>
      </c>
      <c r="E561" s="40">
        <v>44222</v>
      </c>
      <c r="F561" s="24">
        <v>23.91</v>
      </c>
      <c r="G561" s="81">
        <f t="shared" si="17"/>
        <v>7.3641670408621573E-2</v>
      </c>
      <c r="L561" s="40">
        <v>44222</v>
      </c>
      <c r="M561" s="43">
        <v>-1.4888E-3</v>
      </c>
      <c r="N561" s="1">
        <v>7.3641670408621573E-2</v>
      </c>
    </row>
    <row r="562" spans="2:14">
      <c r="B562" s="40">
        <v>44223</v>
      </c>
      <c r="C562" s="47">
        <v>3750.77</v>
      </c>
      <c r="D562" s="81">
        <f t="shared" si="16"/>
        <v>-2.5677859113367063E-2</v>
      </c>
      <c r="E562" s="40">
        <v>44223</v>
      </c>
      <c r="F562" s="24">
        <v>24.610001</v>
      </c>
      <c r="G562" s="81">
        <f t="shared" si="17"/>
        <v>2.9276495190297069E-2</v>
      </c>
      <c r="L562" s="40">
        <v>44223</v>
      </c>
      <c r="M562" s="43">
        <v>-2.56779E-2</v>
      </c>
      <c r="N562" s="1">
        <v>2.9276495190297069E-2</v>
      </c>
    </row>
    <row r="563" spans="2:14">
      <c r="B563" s="40">
        <v>44224</v>
      </c>
      <c r="C563" s="47">
        <v>3787.38</v>
      </c>
      <c r="D563" s="81">
        <f t="shared" si="16"/>
        <v>9.7606624773047823E-3</v>
      </c>
      <c r="E563" s="40">
        <v>44224</v>
      </c>
      <c r="F563" s="24">
        <v>22.559999000000001</v>
      </c>
      <c r="G563" s="81">
        <f t="shared" si="17"/>
        <v>-8.3299549642440018E-2</v>
      </c>
      <c r="L563" s="40">
        <v>44224</v>
      </c>
      <c r="M563" s="43">
        <v>9.7607000000000006E-3</v>
      </c>
      <c r="N563" s="1">
        <v>-8.3299549642440018E-2</v>
      </c>
    </row>
    <row r="564" spans="2:14">
      <c r="B564" s="40">
        <v>44225</v>
      </c>
      <c r="C564" s="47">
        <v>3714.24</v>
      </c>
      <c r="D564" s="81">
        <f t="shared" si="16"/>
        <v>-1.9311502938707092E-2</v>
      </c>
      <c r="E564" s="40">
        <v>44225</v>
      </c>
      <c r="F564" s="24">
        <v>22.65</v>
      </c>
      <c r="G564" s="81">
        <f t="shared" si="17"/>
        <v>3.9894062052041601E-3</v>
      </c>
      <c r="L564" s="40">
        <v>44225</v>
      </c>
      <c r="M564" s="43">
        <v>-1.9311499999999999E-2</v>
      </c>
      <c r="N564" s="1">
        <v>3.9894062052041601E-3</v>
      </c>
    </row>
    <row r="565" spans="2:14">
      <c r="B565" s="40">
        <v>44228</v>
      </c>
      <c r="C565" s="47">
        <v>3773.86</v>
      </c>
      <c r="D565" s="81">
        <f t="shared" si="16"/>
        <v>1.6051736021366558E-2</v>
      </c>
      <c r="E565" s="40">
        <v>44228</v>
      </c>
      <c r="F565" s="24">
        <v>22.27</v>
      </c>
      <c r="G565" s="81">
        <f t="shared" si="17"/>
        <v>-1.6777041942604765E-2</v>
      </c>
      <c r="L565" s="40">
        <v>44228</v>
      </c>
      <c r="M565" s="43">
        <v>1.6051699999999999E-2</v>
      </c>
      <c r="N565" s="1">
        <v>-1.6777041942604765E-2</v>
      </c>
    </row>
    <row r="566" spans="2:14">
      <c r="B566" s="40">
        <v>44229</v>
      </c>
      <c r="C566" s="47">
        <v>3826.31</v>
      </c>
      <c r="D566" s="81">
        <f t="shared" si="16"/>
        <v>1.3898236818535858E-2</v>
      </c>
      <c r="E566" s="40">
        <v>44229</v>
      </c>
      <c r="F566" s="24">
        <v>21.610001</v>
      </c>
      <c r="G566" s="81">
        <f t="shared" si="17"/>
        <v>-2.9636237090255868E-2</v>
      </c>
      <c r="L566" s="40">
        <v>44229</v>
      </c>
      <c r="M566" s="43">
        <v>1.3898199999999999E-2</v>
      </c>
      <c r="N566" s="1">
        <v>-2.9636237090255868E-2</v>
      </c>
    </row>
    <row r="567" spans="2:14">
      <c r="B567" s="40">
        <v>44230</v>
      </c>
      <c r="C567" s="47">
        <v>3830.17</v>
      </c>
      <c r="D567" s="81">
        <f t="shared" si="16"/>
        <v>1.0088048276277739E-3</v>
      </c>
      <c r="E567" s="40">
        <v>44230</v>
      </c>
      <c r="F567" s="24">
        <v>21.940000999999999</v>
      </c>
      <c r="G567" s="81">
        <f t="shared" si="17"/>
        <v>1.5270707298902897E-2</v>
      </c>
      <c r="L567" s="40">
        <v>44230</v>
      </c>
      <c r="M567" s="43">
        <v>1.0088E-3</v>
      </c>
      <c r="N567" s="1">
        <v>1.5270707298902897E-2</v>
      </c>
    </row>
    <row r="568" spans="2:14">
      <c r="B568" s="40">
        <v>44231</v>
      </c>
      <c r="C568" s="47">
        <v>3871.74</v>
      </c>
      <c r="D568" s="81">
        <f t="shared" si="16"/>
        <v>1.0853304161434041E-2</v>
      </c>
      <c r="E568" s="40">
        <v>44231</v>
      </c>
      <c r="F568" s="24">
        <v>22.24</v>
      </c>
      <c r="G568" s="81">
        <f t="shared" si="17"/>
        <v>1.3673609221804384E-2</v>
      </c>
      <c r="L568" s="40">
        <v>44231</v>
      </c>
      <c r="M568" s="43">
        <v>1.08533E-2</v>
      </c>
      <c r="N568" s="1">
        <v>1.3673609221804384E-2</v>
      </c>
    </row>
    <row r="569" spans="2:14">
      <c r="B569" s="40">
        <v>44232</v>
      </c>
      <c r="C569" s="47">
        <v>3886.83</v>
      </c>
      <c r="D569" s="81">
        <f t="shared" si="16"/>
        <v>3.897472454245321E-3</v>
      </c>
      <c r="E569" s="40">
        <v>44232</v>
      </c>
      <c r="F569" s="24">
        <v>22.309999000000001</v>
      </c>
      <c r="G569" s="81">
        <f t="shared" si="17"/>
        <v>3.1474370503599136E-3</v>
      </c>
      <c r="L569" s="40">
        <v>44232</v>
      </c>
      <c r="M569" s="43">
        <v>3.8974999999999999E-3</v>
      </c>
      <c r="N569" s="1">
        <v>3.1474370503599136E-3</v>
      </c>
    </row>
    <row r="570" spans="2:14">
      <c r="B570" s="40">
        <v>44235</v>
      </c>
      <c r="C570" s="47">
        <v>3915.59</v>
      </c>
      <c r="D570" s="81">
        <f t="shared" si="16"/>
        <v>7.3993459966090747E-3</v>
      </c>
      <c r="E570" s="40">
        <v>44235</v>
      </c>
      <c r="F570" s="24">
        <v>22.530000999999999</v>
      </c>
      <c r="G570" s="81">
        <f t="shared" si="17"/>
        <v>9.8611389449188014E-3</v>
      </c>
      <c r="L570" s="40">
        <v>44235</v>
      </c>
      <c r="M570" s="43">
        <v>7.3993000000000001E-3</v>
      </c>
      <c r="N570" s="1">
        <v>9.8611389449188014E-3</v>
      </c>
    </row>
    <row r="571" spans="2:14">
      <c r="B571" s="40">
        <v>44236</v>
      </c>
      <c r="C571" s="47">
        <v>3911.23</v>
      </c>
      <c r="D571" s="81">
        <f t="shared" si="16"/>
        <v>-1.1134975827398197E-3</v>
      </c>
      <c r="E571" s="40">
        <v>44236</v>
      </c>
      <c r="F571" s="24">
        <v>22.879999000000002</v>
      </c>
      <c r="G571" s="81">
        <f t="shared" si="17"/>
        <v>1.5534752972270249E-2</v>
      </c>
      <c r="L571" s="40">
        <v>44236</v>
      </c>
      <c r="M571" s="43">
        <v>-1.1134999999999999E-3</v>
      </c>
      <c r="N571" s="1">
        <v>1.5534752972270249E-2</v>
      </c>
    </row>
    <row r="572" spans="2:14">
      <c r="B572" s="40">
        <v>44237</v>
      </c>
      <c r="C572" s="47">
        <v>3909.88</v>
      </c>
      <c r="D572" s="81">
        <f t="shared" si="16"/>
        <v>-3.4515996246697878E-4</v>
      </c>
      <c r="E572" s="40">
        <v>44237</v>
      </c>
      <c r="F572" s="24">
        <v>22.59</v>
      </c>
      <c r="G572" s="81">
        <f t="shared" si="17"/>
        <v>-1.2674782022499276E-2</v>
      </c>
      <c r="L572" s="40">
        <v>44237</v>
      </c>
      <c r="M572" s="43">
        <v>-3.4519999999999999E-4</v>
      </c>
      <c r="N572" s="1">
        <v>-1.2674782022499276E-2</v>
      </c>
    </row>
    <row r="573" spans="2:14">
      <c r="B573" s="40">
        <v>44238</v>
      </c>
      <c r="C573" s="47">
        <v>3916.38</v>
      </c>
      <c r="D573" s="81">
        <f t="shared" si="16"/>
        <v>1.6624551137118804E-3</v>
      </c>
      <c r="E573" s="40">
        <v>44238</v>
      </c>
      <c r="F573" s="24">
        <v>22.450001</v>
      </c>
      <c r="G573" s="81">
        <f t="shared" si="17"/>
        <v>-6.197388224878253E-3</v>
      </c>
      <c r="L573" s="40">
        <v>44238</v>
      </c>
      <c r="M573" s="43">
        <v>1.6624999999999999E-3</v>
      </c>
      <c r="N573" s="1">
        <v>-6.197388224878253E-3</v>
      </c>
    </row>
    <row r="574" spans="2:14">
      <c r="B574" s="40">
        <v>44239</v>
      </c>
      <c r="C574" s="47">
        <v>3934.83</v>
      </c>
      <c r="D574" s="81">
        <f t="shared" si="16"/>
        <v>4.7109831017417836E-3</v>
      </c>
      <c r="E574" s="40">
        <v>44239</v>
      </c>
      <c r="F574" s="24">
        <v>21.969999000000001</v>
      </c>
      <c r="G574" s="81">
        <f t="shared" si="17"/>
        <v>-2.1380934459646506E-2</v>
      </c>
      <c r="L574" s="40">
        <v>44239</v>
      </c>
      <c r="M574" s="43">
        <v>4.7109999999999999E-3</v>
      </c>
      <c r="N574" s="1">
        <v>-2.1380934459646506E-2</v>
      </c>
    </row>
    <row r="575" spans="2:14">
      <c r="B575" s="40">
        <v>44243</v>
      </c>
      <c r="C575" s="47">
        <v>3932.59</v>
      </c>
      <c r="D575" s="81">
        <f t="shared" si="16"/>
        <v>-5.6927491149549869E-4</v>
      </c>
      <c r="E575" s="40">
        <v>44243</v>
      </c>
      <c r="F575" s="24">
        <v>21.790001</v>
      </c>
      <c r="G575" s="81">
        <f t="shared" si="17"/>
        <v>-8.1928997811970827E-3</v>
      </c>
      <c r="L575" s="40">
        <v>44243</v>
      </c>
      <c r="M575" s="43">
        <v>-5.6930000000000001E-4</v>
      </c>
      <c r="N575" s="1">
        <v>-8.1928997811970827E-3</v>
      </c>
    </row>
    <row r="576" spans="2:14">
      <c r="B576" s="40">
        <v>44244</v>
      </c>
      <c r="C576" s="47">
        <v>3931.33</v>
      </c>
      <c r="D576" s="81">
        <f t="shared" si="16"/>
        <v>-3.2039953313212077E-4</v>
      </c>
      <c r="E576" s="40">
        <v>44244</v>
      </c>
      <c r="F576" s="24">
        <v>21.74</v>
      </c>
      <c r="G576" s="81">
        <f t="shared" si="17"/>
        <v>-2.2946763517818214E-3</v>
      </c>
      <c r="L576" s="40">
        <v>44244</v>
      </c>
      <c r="M576" s="43">
        <v>-3.2039999999999998E-4</v>
      </c>
      <c r="N576" s="1">
        <v>-2.2946763517818214E-3</v>
      </c>
    </row>
    <row r="577" spans="2:14">
      <c r="B577" s="40">
        <v>44245</v>
      </c>
      <c r="C577" s="47">
        <v>3913.97</v>
      </c>
      <c r="D577" s="81">
        <f t="shared" si="16"/>
        <v>-4.4158083905446732E-3</v>
      </c>
      <c r="E577" s="40">
        <v>44245</v>
      </c>
      <c r="F577" s="24">
        <v>21.690000999999999</v>
      </c>
      <c r="G577" s="81">
        <f t="shared" si="17"/>
        <v>-2.2998620055197927E-3</v>
      </c>
      <c r="L577" s="40">
        <v>44245</v>
      </c>
      <c r="M577" s="43">
        <v>-4.4158000000000001E-3</v>
      </c>
      <c r="N577" s="1">
        <v>-2.2998620055197927E-3</v>
      </c>
    </row>
    <row r="578" spans="2:14">
      <c r="B578" s="40">
        <v>44246</v>
      </c>
      <c r="C578" s="47">
        <v>3906.71</v>
      </c>
      <c r="D578" s="81">
        <f t="shared" si="16"/>
        <v>-1.8548941356217874E-3</v>
      </c>
      <c r="E578" s="40">
        <v>44246</v>
      </c>
      <c r="F578" s="24">
        <v>21.879999000000002</v>
      </c>
      <c r="G578" s="81">
        <f t="shared" si="17"/>
        <v>8.75970452928998E-3</v>
      </c>
      <c r="L578" s="40">
        <v>44246</v>
      </c>
      <c r="M578" s="43">
        <v>-1.8549E-3</v>
      </c>
      <c r="N578" s="1">
        <v>8.75970452928998E-3</v>
      </c>
    </row>
    <row r="579" spans="2:14">
      <c r="B579" s="40">
        <v>44249</v>
      </c>
      <c r="C579" s="47">
        <v>3876.5</v>
      </c>
      <c r="D579" s="81">
        <f t="shared" si="16"/>
        <v>-7.7328493796570141E-3</v>
      </c>
      <c r="E579" s="40">
        <v>44249</v>
      </c>
      <c r="F579" s="24">
        <v>21.629999000000002</v>
      </c>
      <c r="G579" s="81">
        <f t="shared" si="17"/>
        <v>-1.1425960302831828E-2</v>
      </c>
      <c r="L579" s="40">
        <v>44249</v>
      </c>
      <c r="M579" s="43">
        <v>-7.7327999999999997E-3</v>
      </c>
      <c r="N579" s="1">
        <v>-1.1425960302831828E-2</v>
      </c>
    </row>
    <row r="580" spans="2:14">
      <c r="B580" s="40">
        <v>44250</v>
      </c>
      <c r="C580" s="47">
        <v>3881.37</v>
      </c>
      <c r="D580" s="81">
        <f t="shared" si="16"/>
        <v>1.2562878885591378E-3</v>
      </c>
      <c r="E580" s="40">
        <v>44250</v>
      </c>
      <c r="F580" s="24">
        <v>21.809999000000001</v>
      </c>
      <c r="G580" s="81">
        <f t="shared" si="17"/>
        <v>8.3217756967997047E-3</v>
      </c>
      <c r="L580" s="40">
        <v>44250</v>
      </c>
      <c r="M580" s="43">
        <v>1.2562999999999999E-3</v>
      </c>
      <c r="N580" s="1">
        <v>8.3217756967997047E-3</v>
      </c>
    </row>
    <row r="581" spans="2:14">
      <c r="B581" s="40">
        <v>44251</v>
      </c>
      <c r="C581" s="47">
        <v>3925.43</v>
      </c>
      <c r="D581" s="81">
        <f t="shared" si="16"/>
        <v>1.135166191319037E-2</v>
      </c>
      <c r="E581" s="40">
        <v>44251</v>
      </c>
      <c r="F581" s="24">
        <v>21.48</v>
      </c>
      <c r="G581" s="81">
        <f t="shared" si="17"/>
        <v>-1.513062884597105E-2</v>
      </c>
      <c r="L581" s="40">
        <v>44251</v>
      </c>
      <c r="M581" s="43">
        <v>1.1351699999999999E-2</v>
      </c>
      <c r="N581" s="1">
        <v>-1.513062884597105E-2</v>
      </c>
    </row>
    <row r="582" spans="2:14">
      <c r="B582" s="40">
        <v>44252</v>
      </c>
      <c r="C582" s="47">
        <v>3829.34</v>
      </c>
      <c r="D582" s="81">
        <f t="shared" ref="D582:D645" si="18">C582/C581-1</f>
        <v>-2.4478846903396523E-2</v>
      </c>
      <c r="E582" s="40">
        <v>44252</v>
      </c>
      <c r="F582" s="24">
        <v>20.52</v>
      </c>
      <c r="G582" s="81">
        <f t="shared" ref="G582:G645" si="19">F582/F581-1</f>
        <v>-4.4692737430167662E-2</v>
      </c>
      <c r="L582" s="40">
        <v>44252</v>
      </c>
      <c r="M582" s="43">
        <v>-2.4478799999999998E-2</v>
      </c>
      <c r="N582" s="1">
        <v>-4.4692737430167662E-2</v>
      </c>
    </row>
    <row r="583" spans="2:14">
      <c r="B583" s="40">
        <v>44253</v>
      </c>
      <c r="C583" s="47">
        <v>3811.15</v>
      </c>
      <c r="D583" s="81">
        <f t="shared" si="18"/>
        <v>-4.7501658249202716E-3</v>
      </c>
      <c r="E583" s="40">
        <v>44253</v>
      </c>
      <c r="F583" s="24">
        <v>21.110001</v>
      </c>
      <c r="G583" s="81">
        <f t="shared" si="19"/>
        <v>2.8752485380117099E-2</v>
      </c>
      <c r="L583" s="40">
        <v>44253</v>
      </c>
      <c r="M583" s="43">
        <v>-4.7502000000000004E-3</v>
      </c>
      <c r="N583" s="1">
        <v>2.8752485380117099E-2</v>
      </c>
    </row>
    <row r="584" spans="2:14">
      <c r="B584" s="40">
        <v>44256</v>
      </c>
      <c r="C584" s="47">
        <v>3901.82</v>
      </c>
      <c r="D584" s="81">
        <f t="shared" si="18"/>
        <v>2.3790719336683086E-2</v>
      </c>
      <c r="E584" s="40">
        <v>44256</v>
      </c>
      <c r="F584" s="24">
        <v>21.780000999999999</v>
      </c>
      <c r="G584" s="81">
        <f t="shared" si="19"/>
        <v>3.1738511049809848E-2</v>
      </c>
      <c r="L584" s="40">
        <v>44256</v>
      </c>
      <c r="M584" s="43">
        <v>2.3790700000000001E-2</v>
      </c>
      <c r="N584" s="1">
        <v>3.1738511049809848E-2</v>
      </c>
    </row>
    <row r="585" spans="2:14">
      <c r="B585" s="40">
        <v>44257</v>
      </c>
      <c r="C585" s="47">
        <v>3870.29</v>
      </c>
      <c r="D585" s="81">
        <f t="shared" si="18"/>
        <v>-8.0808443239309691E-3</v>
      </c>
      <c r="E585" s="40">
        <v>44257</v>
      </c>
      <c r="F585" s="24">
        <v>21.77</v>
      </c>
      <c r="G585" s="81">
        <f t="shared" si="19"/>
        <v>-4.5918271537259692E-4</v>
      </c>
      <c r="L585" s="40">
        <v>44257</v>
      </c>
      <c r="M585" s="43">
        <v>-8.0808000000000008E-3</v>
      </c>
      <c r="N585" s="1">
        <v>-4.5918271537259692E-4</v>
      </c>
    </row>
    <row r="586" spans="2:14">
      <c r="B586" s="40">
        <v>44258</v>
      </c>
      <c r="C586" s="47">
        <v>3819.72</v>
      </c>
      <c r="D586" s="81">
        <f t="shared" si="18"/>
        <v>-1.306620434127681E-2</v>
      </c>
      <c r="E586" s="40">
        <v>44258</v>
      </c>
      <c r="F586" s="24">
        <v>23</v>
      </c>
      <c r="G586" s="81">
        <f t="shared" si="19"/>
        <v>5.6499770326136955E-2</v>
      </c>
      <c r="L586" s="40">
        <v>44258</v>
      </c>
      <c r="M586" s="43">
        <v>-1.30662E-2</v>
      </c>
      <c r="N586" s="1">
        <v>5.6499770326136955E-2</v>
      </c>
    </row>
    <row r="587" spans="2:14">
      <c r="B587" s="40">
        <v>44259</v>
      </c>
      <c r="C587" s="47">
        <v>3768.47</v>
      </c>
      <c r="D587" s="81">
        <f t="shared" si="18"/>
        <v>-1.3417213827191521E-2</v>
      </c>
      <c r="E587" s="40">
        <v>44259</v>
      </c>
      <c r="F587" s="24">
        <v>24.08</v>
      </c>
      <c r="G587" s="81">
        <f t="shared" si="19"/>
        <v>4.6956521739130341E-2</v>
      </c>
      <c r="L587" s="40">
        <v>44259</v>
      </c>
      <c r="M587" s="43">
        <v>-1.3417200000000001E-2</v>
      </c>
      <c r="N587" s="1">
        <v>4.6956521739130341E-2</v>
      </c>
    </row>
    <row r="588" spans="2:14">
      <c r="B588" s="40">
        <v>44260</v>
      </c>
      <c r="C588" s="47">
        <v>3841.94</v>
      </c>
      <c r="D588" s="81">
        <f t="shared" si="18"/>
        <v>1.9495975820425837E-2</v>
      </c>
      <c r="E588" s="40">
        <v>44260</v>
      </c>
      <c r="F588" s="24">
        <v>23.620000999999998</v>
      </c>
      <c r="G588" s="81">
        <f t="shared" si="19"/>
        <v>-1.9102948504983397E-2</v>
      </c>
      <c r="L588" s="40">
        <v>44260</v>
      </c>
      <c r="M588" s="43">
        <v>1.9495999999999999E-2</v>
      </c>
      <c r="N588" s="1">
        <v>-1.9102948504983397E-2</v>
      </c>
    </row>
    <row r="589" spans="2:14">
      <c r="B589" s="40">
        <v>44263</v>
      </c>
      <c r="C589" s="47">
        <v>3821.35</v>
      </c>
      <c r="D589" s="81">
        <f t="shared" si="18"/>
        <v>-5.3592716179846622E-3</v>
      </c>
      <c r="E589" s="40">
        <v>44263</v>
      </c>
      <c r="F589" s="24">
        <v>23.860001</v>
      </c>
      <c r="G589" s="81">
        <f t="shared" si="19"/>
        <v>1.0160880179471699E-2</v>
      </c>
      <c r="L589" s="40">
        <v>44263</v>
      </c>
      <c r="M589" s="43">
        <v>-5.3593E-3</v>
      </c>
      <c r="N589" s="1">
        <v>1.0160880179471699E-2</v>
      </c>
    </row>
    <row r="590" spans="2:14">
      <c r="B590" s="40">
        <v>44264</v>
      </c>
      <c r="C590" s="47">
        <v>3875.44</v>
      </c>
      <c r="D590" s="81">
        <f t="shared" si="18"/>
        <v>1.4154683554241432E-2</v>
      </c>
      <c r="E590" s="40">
        <v>44264</v>
      </c>
      <c r="F590" s="24">
        <v>23.23</v>
      </c>
      <c r="G590" s="81">
        <f t="shared" si="19"/>
        <v>-2.6404064274766825E-2</v>
      </c>
      <c r="L590" s="40">
        <v>44264</v>
      </c>
      <c r="M590" s="43">
        <v>1.4154699999999999E-2</v>
      </c>
      <c r="N590" s="1">
        <v>-2.6404064274766825E-2</v>
      </c>
    </row>
    <row r="591" spans="2:14">
      <c r="B591" s="40">
        <v>44265</v>
      </c>
      <c r="C591" s="47">
        <v>3898.81</v>
      </c>
      <c r="D591" s="81">
        <f t="shared" si="18"/>
        <v>6.0302830130256613E-3</v>
      </c>
      <c r="E591" s="40">
        <v>44265</v>
      </c>
      <c r="F591" s="24">
        <v>24.1</v>
      </c>
      <c r="G591" s="81">
        <f t="shared" si="19"/>
        <v>3.745157124408105E-2</v>
      </c>
      <c r="L591" s="40">
        <v>44265</v>
      </c>
      <c r="M591" s="43">
        <v>6.0302999999999997E-3</v>
      </c>
      <c r="N591" s="1">
        <v>3.745157124408105E-2</v>
      </c>
    </row>
    <row r="592" spans="2:14">
      <c r="B592" s="40">
        <v>44266</v>
      </c>
      <c r="C592" s="47">
        <v>3939.34</v>
      </c>
      <c r="D592" s="81">
        <f t="shared" si="18"/>
        <v>1.0395479646353678E-2</v>
      </c>
      <c r="E592" s="40">
        <v>44266</v>
      </c>
      <c r="F592" s="24">
        <v>24.35</v>
      </c>
      <c r="G592" s="81">
        <f t="shared" si="19"/>
        <v>1.0373443983402453E-2</v>
      </c>
      <c r="L592" s="40">
        <v>44266</v>
      </c>
      <c r="M592" s="43">
        <v>1.03955E-2</v>
      </c>
      <c r="N592" s="1">
        <v>1.0373443983402453E-2</v>
      </c>
    </row>
    <row r="593" spans="2:14">
      <c r="B593" s="40">
        <v>44267</v>
      </c>
      <c r="C593" s="47">
        <v>3943.34</v>
      </c>
      <c r="D593" s="81">
        <f t="shared" si="18"/>
        <v>1.0153985185334946E-3</v>
      </c>
      <c r="E593" s="40">
        <v>44267</v>
      </c>
      <c r="F593" s="24">
        <v>24.43</v>
      </c>
      <c r="G593" s="81">
        <f t="shared" si="19"/>
        <v>3.2854209445585258E-3</v>
      </c>
      <c r="L593" s="40">
        <v>44267</v>
      </c>
      <c r="M593" s="43">
        <v>1.0154000000000001E-3</v>
      </c>
      <c r="N593" s="1">
        <v>3.2854209445585258E-3</v>
      </c>
    </row>
    <row r="594" spans="2:14">
      <c r="B594" s="40">
        <v>44270</v>
      </c>
      <c r="C594" s="47">
        <v>3968.94</v>
      </c>
      <c r="D594" s="81">
        <f t="shared" si="18"/>
        <v>6.4919585934766211E-3</v>
      </c>
      <c r="E594" s="40">
        <v>44270</v>
      </c>
      <c r="F594" s="24">
        <v>24.809999000000001</v>
      </c>
      <c r="G594" s="81">
        <f t="shared" si="19"/>
        <v>1.5554604993859966E-2</v>
      </c>
      <c r="L594" s="40">
        <v>44270</v>
      </c>
      <c r="M594" s="43">
        <v>6.4920000000000004E-3</v>
      </c>
      <c r="N594" s="1">
        <v>1.5554604993859966E-2</v>
      </c>
    </row>
    <row r="595" spans="2:14">
      <c r="B595" s="40">
        <v>44271</v>
      </c>
      <c r="C595" s="47">
        <v>3962.71</v>
      </c>
      <c r="D595" s="81">
        <f t="shared" si="18"/>
        <v>-1.5696886322292825E-3</v>
      </c>
      <c r="E595" s="40">
        <v>44271</v>
      </c>
      <c r="F595" s="24">
        <v>24.42</v>
      </c>
      <c r="G595" s="81">
        <f t="shared" si="19"/>
        <v>-1.5719428283733516E-2</v>
      </c>
      <c r="L595" s="40">
        <v>44271</v>
      </c>
      <c r="M595" s="43">
        <v>-1.5697E-3</v>
      </c>
      <c r="N595" s="1">
        <v>-1.5719428283733516E-2</v>
      </c>
    </row>
    <row r="596" spans="2:14">
      <c r="B596" s="40">
        <v>44272</v>
      </c>
      <c r="C596" s="47">
        <v>3974.12</v>
      </c>
      <c r="D596" s="81">
        <f t="shared" si="18"/>
        <v>2.8793426720601367E-3</v>
      </c>
      <c r="E596" s="40">
        <v>44272</v>
      </c>
      <c r="F596" s="24">
        <v>24.25</v>
      </c>
      <c r="G596" s="81">
        <f t="shared" si="19"/>
        <v>-6.9615069615069913E-3</v>
      </c>
      <c r="L596" s="40">
        <v>44272</v>
      </c>
      <c r="M596" s="43">
        <v>2.8793E-3</v>
      </c>
      <c r="N596" s="1">
        <v>-6.9615069615069913E-3</v>
      </c>
    </row>
    <row r="597" spans="2:14">
      <c r="B597" s="40">
        <v>44273</v>
      </c>
      <c r="C597" s="47">
        <v>3915.46</v>
      </c>
      <c r="D597" s="81">
        <f t="shared" si="18"/>
        <v>-1.4760500437832724E-2</v>
      </c>
      <c r="E597" s="40">
        <v>44273</v>
      </c>
      <c r="F597" s="24">
        <v>24.049999</v>
      </c>
      <c r="G597" s="81">
        <f t="shared" si="19"/>
        <v>-8.2474639175257325E-3</v>
      </c>
      <c r="L597" s="40">
        <v>44273</v>
      </c>
      <c r="M597" s="43">
        <v>-1.4760499999999999E-2</v>
      </c>
      <c r="N597" s="1">
        <v>-8.2474639175257325E-3</v>
      </c>
    </row>
    <row r="598" spans="2:14">
      <c r="B598" s="40">
        <v>44274</v>
      </c>
      <c r="C598" s="47">
        <v>3913.1</v>
      </c>
      <c r="D598" s="81">
        <f t="shared" si="18"/>
        <v>-6.0273888636330764E-4</v>
      </c>
      <c r="E598" s="40">
        <v>44274</v>
      </c>
      <c r="F598" s="24">
        <v>24.030000999999999</v>
      </c>
      <c r="G598" s="81">
        <f t="shared" si="19"/>
        <v>-8.3151770609224407E-4</v>
      </c>
      <c r="L598" s="40">
        <v>44274</v>
      </c>
      <c r="M598" s="43">
        <v>-6.0269999999999996E-4</v>
      </c>
      <c r="N598" s="1">
        <v>-8.3151770609224407E-4</v>
      </c>
    </row>
    <row r="599" spans="2:14">
      <c r="B599" s="40">
        <v>44277</v>
      </c>
      <c r="C599" s="47">
        <v>3940.59</v>
      </c>
      <c r="D599" s="81">
        <f t="shared" si="18"/>
        <v>7.0251207482558975E-3</v>
      </c>
      <c r="E599" s="40">
        <v>44277</v>
      </c>
      <c r="F599" s="24">
        <v>25.18</v>
      </c>
      <c r="G599" s="81">
        <f t="shared" si="19"/>
        <v>4.7856802003462207E-2</v>
      </c>
      <c r="L599" s="40">
        <v>44277</v>
      </c>
      <c r="M599" s="43">
        <v>7.0251000000000003E-3</v>
      </c>
      <c r="N599" s="1">
        <v>4.7856802003462207E-2</v>
      </c>
    </row>
    <row r="600" spans="2:14">
      <c r="B600" s="40">
        <v>44278</v>
      </c>
      <c r="C600" s="47">
        <v>3910.52</v>
      </c>
      <c r="D600" s="81">
        <f t="shared" si="18"/>
        <v>-7.6308370066411335E-3</v>
      </c>
      <c r="E600" s="40">
        <v>44278</v>
      </c>
      <c r="F600" s="24">
        <v>25.870000999999998</v>
      </c>
      <c r="G600" s="81">
        <f t="shared" si="19"/>
        <v>2.7402740270055626E-2</v>
      </c>
      <c r="L600" s="40">
        <v>44278</v>
      </c>
      <c r="M600" s="43">
        <v>-7.6308000000000001E-3</v>
      </c>
      <c r="N600" s="1">
        <v>2.7402740270055626E-2</v>
      </c>
    </row>
    <row r="601" spans="2:14">
      <c r="B601" s="40">
        <v>44279</v>
      </c>
      <c r="C601" s="47">
        <v>3889.14</v>
      </c>
      <c r="D601" s="81">
        <f t="shared" si="18"/>
        <v>-5.4673035811094728E-3</v>
      </c>
      <c r="E601" s="40">
        <v>44279</v>
      </c>
      <c r="F601" s="24">
        <v>25.280000999999999</v>
      </c>
      <c r="G601" s="81">
        <f t="shared" si="19"/>
        <v>-2.2806338507679214E-2</v>
      </c>
      <c r="L601" s="40">
        <v>44279</v>
      </c>
      <c r="M601" s="43">
        <v>-5.4672999999999996E-3</v>
      </c>
      <c r="N601" s="1">
        <v>-2.2806338507679214E-2</v>
      </c>
    </row>
    <row r="602" spans="2:14">
      <c r="B602" s="40">
        <v>44280</v>
      </c>
      <c r="C602" s="47">
        <v>3909.52</v>
      </c>
      <c r="D602" s="81">
        <f t="shared" si="18"/>
        <v>5.2402330592367097E-3</v>
      </c>
      <c r="E602" s="40">
        <v>44280</v>
      </c>
      <c r="F602" s="24">
        <v>26.299999</v>
      </c>
      <c r="G602" s="81">
        <f t="shared" si="19"/>
        <v>4.0348020555853736E-2</v>
      </c>
      <c r="L602" s="40">
        <v>44280</v>
      </c>
      <c r="M602" s="43">
        <v>5.2402000000000004E-3</v>
      </c>
      <c r="N602" s="1">
        <v>4.0348020555853736E-2</v>
      </c>
    </row>
    <row r="603" spans="2:14">
      <c r="B603" s="40">
        <v>44281</v>
      </c>
      <c r="C603" s="47">
        <v>3974.54</v>
      </c>
      <c r="D603" s="81">
        <f t="shared" si="18"/>
        <v>1.6631197691788335E-2</v>
      </c>
      <c r="E603" s="40">
        <v>44281</v>
      </c>
      <c r="F603" s="24">
        <v>27.959999</v>
      </c>
      <c r="G603" s="81">
        <f t="shared" si="19"/>
        <v>6.3117873122352508E-2</v>
      </c>
      <c r="L603" s="40">
        <v>44281</v>
      </c>
      <c r="M603" s="43">
        <v>1.6631199999999999E-2</v>
      </c>
      <c r="N603" s="1">
        <v>6.3117873122352508E-2</v>
      </c>
    </row>
    <row r="604" spans="2:14">
      <c r="B604" s="40">
        <v>44284</v>
      </c>
      <c r="C604" s="47">
        <v>3971.09</v>
      </c>
      <c r="D604" s="81">
        <f t="shared" si="18"/>
        <v>-8.6802497899118869E-4</v>
      </c>
      <c r="E604" s="40">
        <v>44284</v>
      </c>
      <c r="F604" s="24">
        <v>28</v>
      </c>
      <c r="G604" s="81">
        <f t="shared" si="19"/>
        <v>1.4306509810675383E-3</v>
      </c>
      <c r="L604" s="40">
        <v>44284</v>
      </c>
      <c r="M604" s="43">
        <v>-8.6799999999999996E-4</v>
      </c>
      <c r="N604" s="1">
        <v>1.4306509810675383E-3</v>
      </c>
    </row>
    <row r="605" spans="2:14">
      <c r="B605" s="40">
        <v>44285</v>
      </c>
      <c r="C605" s="47">
        <v>3958.55</v>
      </c>
      <c r="D605" s="81">
        <f t="shared" si="18"/>
        <v>-3.1578231669390222E-3</v>
      </c>
      <c r="E605" s="40">
        <v>44285</v>
      </c>
      <c r="F605" s="24">
        <v>28.129999000000002</v>
      </c>
      <c r="G605" s="81">
        <f t="shared" si="19"/>
        <v>4.6428214285714198E-3</v>
      </c>
      <c r="L605" s="40">
        <v>44285</v>
      </c>
      <c r="M605" s="43">
        <v>-3.1578000000000001E-3</v>
      </c>
      <c r="N605" s="1">
        <v>4.6428214285714198E-3</v>
      </c>
    </row>
    <row r="606" spans="2:14">
      <c r="B606" s="40">
        <v>44286</v>
      </c>
      <c r="C606" s="47">
        <v>3972.89</v>
      </c>
      <c r="D606" s="81">
        <f t="shared" si="18"/>
        <v>3.6225385557842049E-3</v>
      </c>
      <c r="E606" s="40">
        <v>44286</v>
      </c>
      <c r="F606" s="24">
        <v>26.620000999999998</v>
      </c>
      <c r="G606" s="81">
        <f t="shared" si="19"/>
        <v>-5.367927670384931E-2</v>
      </c>
      <c r="L606" s="40">
        <v>44286</v>
      </c>
      <c r="M606" s="43">
        <v>3.6224999999999999E-3</v>
      </c>
      <c r="N606" s="1">
        <v>-5.367927670384931E-2</v>
      </c>
    </row>
    <row r="607" spans="2:14">
      <c r="B607" s="40">
        <v>44287</v>
      </c>
      <c r="C607" s="47">
        <v>4019.87</v>
      </c>
      <c r="D607" s="81">
        <f t="shared" si="18"/>
        <v>1.1825144919693331E-2</v>
      </c>
      <c r="E607" s="40">
        <v>44287</v>
      </c>
      <c r="F607" s="24">
        <v>26.42</v>
      </c>
      <c r="G607" s="81">
        <f t="shared" si="19"/>
        <v>-7.5131852925173215E-3</v>
      </c>
      <c r="L607" s="40">
        <v>44287</v>
      </c>
      <c r="M607" s="43">
        <v>1.18251E-2</v>
      </c>
      <c r="N607" s="1">
        <v>-7.5131852925173215E-3</v>
      </c>
    </row>
    <row r="608" spans="2:14">
      <c r="B608" s="40">
        <v>44291</v>
      </c>
      <c r="C608" s="47">
        <v>4077.91</v>
      </c>
      <c r="D608" s="81">
        <f t="shared" si="18"/>
        <v>1.4438277854756487E-2</v>
      </c>
      <c r="E608" s="40">
        <v>44291</v>
      </c>
      <c r="F608" s="24">
        <v>26.74</v>
      </c>
      <c r="G608" s="81">
        <f t="shared" si="19"/>
        <v>1.2112036336108911E-2</v>
      </c>
      <c r="L608" s="40">
        <v>44291</v>
      </c>
      <c r="M608" s="43">
        <v>1.4438299999999999E-2</v>
      </c>
      <c r="N608" s="1">
        <v>1.2112036336108911E-2</v>
      </c>
    </row>
    <row r="609" spans="2:14">
      <c r="B609" s="40">
        <v>44292</v>
      </c>
      <c r="C609" s="47">
        <v>4073.94</v>
      </c>
      <c r="D609" s="81">
        <f t="shared" si="18"/>
        <v>-9.7353791525556233E-4</v>
      </c>
      <c r="E609" s="40">
        <v>44292</v>
      </c>
      <c r="F609" s="24">
        <v>26.49</v>
      </c>
      <c r="G609" s="81">
        <f t="shared" si="19"/>
        <v>-9.3492894540014859E-3</v>
      </c>
      <c r="L609" s="40">
        <v>44292</v>
      </c>
      <c r="M609" s="43">
        <v>-9.7349999999999997E-4</v>
      </c>
      <c r="N609" s="1">
        <v>-9.3492894540014859E-3</v>
      </c>
    </row>
    <row r="610" spans="2:14">
      <c r="B610" s="40">
        <v>44293</v>
      </c>
      <c r="C610" s="47">
        <v>4079.95</v>
      </c>
      <c r="D610" s="81">
        <f t="shared" si="18"/>
        <v>1.4752303666720756E-3</v>
      </c>
      <c r="E610" s="40">
        <v>44293</v>
      </c>
      <c r="F610" s="24">
        <v>26.530000999999999</v>
      </c>
      <c r="G610" s="81">
        <f t="shared" si="19"/>
        <v>1.5100415251039223E-3</v>
      </c>
      <c r="L610" s="40">
        <v>44293</v>
      </c>
      <c r="M610" s="43">
        <v>1.4752000000000001E-3</v>
      </c>
      <c r="N610" s="1">
        <v>1.5100415251039223E-3</v>
      </c>
    </row>
    <row r="611" spans="2:14">
      <c r="B611" s="40">
        <v>44294</v>
      </c>
      <c r="C611" s="47">
        <v>4097.17</v>
      </c>
      <c r="D611" s="81">
        <f t="shared" si="18"/>
        <v>4.220639958823158E-3</v>
      </c>
      <c r="E611" s="40">
        <v>44294</v>
      </c>
      <c r="F611" s="24">
        <v>25.98</v>
      </c>
      <c r="G611" s="81">
        <f t="shared" si="19"/>
        <v>-2.0731284555925877E-2</v>
      </c>
      <c r="L611" s="40">
        <v>44294</v>
      </c>
      <c r="M611" s="43">
        <v>4.2205999999999997E-3</v>
      </c>
      <c r="N611" s="1">
        <v>-2.0731284555925877E-2</v>
      </c>
    </row>
    <row r="612" spans="2:14">
      <c r="B612" s="40">
        <v>44295</v>
      </c>
      <c r="C612" s="47">
        <v>4128.8</v>
      </c>
      <c r="D612" s="81">
        <f t="shared" si="18"/>
        <v>7.7199628035937717E-3</v>
      </c>
      <c r="E612" s="40">
        <v>44295</v>
      </c>
      <c r="F612" s="24">
        <v>26.1</v>
      </c>
      <c r="G612" s="81">
        <f t="shared" si="19"/>
        <v>4.6189376443417363E-3</v>
      </c>
      <c r="L612" s="40">
        <v>44295</v>
      </c>
      <c r="M612" s="43">
        <v>7.7200000000000003E-3</v>
      </c>
      <c r="N612" s="1">
        <v>4.6189376443417363E-3</v>
      </c>
    </row>
    <row r="613" spans="2:14">
      <c r="B613" s="40">
        <v>44298</v>
      </c>
      <c r="C613" s="47">
        <v>4127.99</v>
      </c>
      <c r="D613" s="81">
        <f t="shared" si="18"/>
        <v>-1.9618291028877799E-4</v>
      </c>
      <c r="E613" s="40">
        <v>44298</v>
      </c>
      <c r="F613" s="24">
        <v>27.27</v>
      </c>
      <c r="G613" s="81">
        <f t="shared" si="19"/>
        <v>4.482758620689653E-2</v>
      </c>
      <c r="L613" s="40">
        <v>44298</v>
      </c>
      <c r="M613" s="43">
        <v>-1.962E-4</v>
      </c>
      <c r="N613" s="1">
        <v>4.482758620689653E-2</v>
      </c>
    </row>
    <row r="614" spans="2:14">
      <c r="B614" s="40">
        <v>44299</v>
      </c>
      <c r="C614" s="47">
        <v>4141.59</v>
      </c>
      <c r="D614" s="81">
        <f t="shared" si="18"/>
        <v>3.2945816244711601E-3</v>
      </c>
      <c r="E614" s="40">
        <v>44299</v>
      </c>
      <c r="F614" s="24">
        <v>27.26</v>
      </c>
      <c r="G614" s="81">
        <f t="shared" si="19"/>
        <v>-3.6670333700028479E-4</v>
      </c>
      <c r="L614" s="40">
        <v>44299</v>
      </c>
      <c r="M614" s="43">
        <v>3.2946E-3</v>
      </c>
      <c r="N614" s="1">
        <v>-3.6670333700028479E-4</v>
      </c>
    </row>
    <row r="615" spans="2:14">
      <c r="B615" s="40">
        <v>44300</v>
      </c>
      <c r="C615" s="47">
        <v>4124.66</v>
      </c>
      <c r="D615" s="81">
        <f t="shared" si="18"/>
        <v>-4.0878020277237415E-3</v>
      </c>
      <c r="E615" s="40">
        <v>44300</v>
      </c>
      <c r="F615" s="24">
        <v>26.42</v>
      </c>
      <c r="G615" s="81">
        <f t="shared" si="19"/>
        <v>-3.0814380044020484E-2</v>
      </c>
      <c r="L615" s="40">
        <v>44300</v>
      </c>
      <c r="M615" s="43">
        <v>-4.0877999999999999E-3</v>
      </c>
      <c r="N615" s="1">
        <v>-3.0814380044020484E-2</v>
      </c>
    </row>
    <row r="616" spans="2:14">
      <c r="B616" s="40">
        <v>44301</v>
      </c>
      <c r="C616" s="47">
        <v>4170.42</v>
      </c>
      <c r="D616" s="81">
        <f t="shared" si="18"/>
        <v>1.1094247768300924E-2</v>
      </c>
      <c r="E616" s="40">
        <v>44301</v>
      </c>
      <c r="F616" s="24">
        <v>26.74</v>
      </c>
      <c r="G616" s="81">
        <f t="shared" si="19"/>
        <v>1.2112036336108911E-2</v>
      </c>
      <c r="L616" s="40">
        <v>44301</v>
      </c>
      <c r="M616" s="43">
        <v>1.10942E-2</v>
      </c>
      <c r="N616" s="1">
        <v>1.2112036336108911E-2</v>
      </c>
    </row>
    <row r="617" spans="2:14">
      <c r="B617" s="40">
        <v>44302</v>
      </c>
      <c r="C617" s="47">
        <v>4185.47</v>
      </c>
      <c r="D617" s="81">
        <f t="shared" si="18"/>
        <v>3.6087492386858155E-3</v>
      </c>
      <c r="E617" s="40">
        <v>44302</v>
      </c>
      <c r="F617" s="24">
        <v>27</v>
      </c>
      <c r="G617" s="81">
        <f t="shared" si="19"/>
        <v>9.7232610321615898E-3</v>
      </c>
      <c r="L617" s="40">
        <v>44302</v>
      </c>
      <c r="M617" s="43">
        <v>3.6086999999999998E-3</v>
      </c>
      <c r="N617" s="1">
        <v>9.7232610321615898E-3</v>
      </c>
    </row>
    <row r="618" spans="2:14">
      <c r="B618" s="40">
        <v>44305</v>
      </c>
      <c r="C618" s="47">
        <v>4163.26</v>
      </c>
      <c r="D618" s="81">
        <f t="shared" si="18"/>
        <v>-5.3064530387267883E-3</v>
      </c>
      <c r="E618" s="40">
        <v>44305</v>
      </c>
      <c r="F618" s="24">
        <v>26.860001</v>
      </c>
      <c r="G618" s="81">
        <f t="shared" si="19"/>
        <v>-5.1851481481480777E-3</v>
      </c>
      <c r="L618" s="40">
        <v>44305</v>
      </c>
      <c r="M618" s="43">
        <v>-5.3064999999999996E-3</v>
      </c>
      <c r="N618" s="1">
        <v>-5.1851481481480777E-3</v>
      </c>
    </row>
    <row r="619" spans="2:14">
      <c r="B619" s="40">
        <v>44306</v>
      </c>
      <c r="C619" s="47">
        <v>4134.9399999999996</v>
      </c>
      <c r="D619" s="81">
        <f t="shared" si="18"/>
        <v>-6.8023616108532359E-3</v>
      </c>
      <c r="E619" s="40">
        <v>44306</v>
      </c>
      <c r="F619" s="24">
        <v>27</v>
      </c>
      <c r="G619" s="81">
        <f t="shared" si="19"/>
        <v>5.2121740427335528E-3</v>
      </c>
      <c r="L619" s="40">
        <v>44306</v>
      </c>
      <c r="M619" s="43">
        <v>-6.8024000000000001E-3</v>
      </c>
      <c r="N619" s="1">
        <v>5.2121740427335528E-3</v>
      </c>
    </row>
    <row r="620" spans="2:14">
      <c r="B620" s="40">
        <v>44307</v>
      </c>
      <c r="C620" s="47">
        <v>4173.42</v>
      </c>
      <c r="D620" s="81">
        <f t="shared" si="18"/>
        <v>9.3060600637495661E-3</v>
      </c>
      <c r="E620" s="40">
        <v>44307</v>
      </c>
      <c r="F620" s="24">
        <v>27.030000999999999</v>
      </c>
      <c r="G620" s="81">
        <f t="shared" si="19"/>
        <v>1.1111481481480556E-3</v>
      </c>
      <c r="L620" s="40">
        <v>44307</v>
      </c>
      <c r="M620" s="43">
        <v>9.3060999999999994E-3</v>
      </c>
      <c r="N620" s="1">
        <v>1.1111481481480556E-3</v>
      </c>
    </row>
    <row r="621" spans="2:14">
      <c r="B621" s="40">
        <v>44308</v>
      </c>
      <c r="C621" s="47">
        <v>4134.9799999999996</v>
      </c>
      <c r="D621" s="81">
        <f t="shared" si="18"/>
        <v>-9.2106713438859789E-3</v>
      </c>
      <c r="E621" s="40">
        <v>44308</v>
      </c>
      <c r="F621" s="24">
        <v>26.549999</v>
      </c>
      <c r="G621" s="81">
        <f t="shared" si="19"/>
        <v>-1.7758119949755069E-2</v>
      </c>
      <c r="L621" s="40">
        <v>44308</v>
      </c>
      <c r="M621" s="43">
        <v>-9.2107000000000005E-3</v>
      </c>
      <c r="N621" s="1">
        <v>-1.7758119949755069E-2</v>
      </c>
    </row>
    <row r="622" spans="2:14">
      <c r="B622" s="40">
        <v>44309</v>
      </c>
      <c r="C622" s="47">
        <v>4180.17</v>
      </c>
      <c r="D622" s="81">
        <f t="shared" si="18"/>
        <v>1.0928710658818286E-2</v>
      </c>
      <c r="E622" s="40">
        <v>44309</v>
      </c>
      <c r="F622" s="24">
        <v>26.52</v>
      </c>
      <c r="G622" s="81">
        <f t="shared" si="19"/>
        <v>-1.1299058805991358E-3</v>
      </c>
      <c r="L622" s="40">
        <v>44309</v>
      </c>
      <c r="M622" s="43">
        <v>1.09287E-2</v>
      </c>
      <c r="N622" s="1">
        <v>-1.1299058805991358E-3</v>
      </c>
    </row>
    <row r="623" spans="2:14">
      <c r="B623" s="40">
        <v>44312</v>
      </c>
      <c r="C623" s="47">
        <v>4187.62</v>
      </c>
      <c r="D623" s="81">
        <f t="shared" si="18"/>
        <v>1.782224167916624E-3</v>
      </c>
      <c r="E623" s="40">
        <v>44312</v>
      </c>
      <c r="F623" s="24">
        <v>25.57</v>
      </c>
      <c r="G623" s="81">
        <f t="shared" si="19"/>
        <v>-3.5822021116138747E-2</v>
      </c>
      <c r="L623" s="40">
        <v>44312</v>
      </c>
      <c r="M623" s="43">
        <v>1.7822000000000001E-3</v>
      </c>
      <c r="N623" s="1">
        <v>-3.5822021116138747E-2</v>
      </c>
    </row>
    <row r="624" spans="2:14">
      <c r="B624" s="40">
        <v>44313</v>
      </c>
      <c r="C624" s="47">
        <v>4186.72</v>
      </c>
      <c r="D624" s="81">
        <f t="shared" si="18"/>
        <v>-2.1491921425531579E-4</v>
      </c>
      <c r="E624" s="40">
        <v>44313</v>
      </c>
      <c r="F624" s="24">
        <v>25.799999</v>
      </c>
      <c r="G624" s="81">
        <f t="shared" si="19"/>
        <v>8.9948768087602105E-3</v>
      </c>
      <c r="L624" s="40">
        <v>44313</v>
      </c>
      <c r="M624" s="43">
        <v>-2.1489999999999999E-4</v>
      </c>
      <c r="N624" s="1">
        <v>8.9948768087602105E-3</v>
      </c>
    </row>
    <row r="625" spans="2:14">
      <c r="B625" s="40">
        <v>44314</v>
      </c>
      <c r="C625" s="47">
        <v>4183.18</v>
      </c>
      <c r="D625" s="81">
        <f t="shared" si="18"/>
        <v>-8.4553063018300012E-4</v>
      </c>
      <c r="E625" s="40">
        <v>44314</v>
      </c>
      <c r="F625" s="24">
        <v>26.190000999999999</v>
      </c>
      <c r="G625" s="81">
        <f t="shared" si="19"/>
        <v>1.5116357175052553E-2</v>
      </c>
      <c r="L625" s="40">
        <v>44314</v>
      </c>
      <c r="M625" s="43">
        <v>-8.4550000000000001E-4</v>
      </c>
      <c r="N625" s="1">
        <v>1.5116357175052553E-2</v>
      </c>
    </row>
    <row r="626" spans="2:14">
      <c r="B626" s="40">
        <v>44315</v>
      </c>
      <c r="C626" s="47">
        <v>4211.47</v>
      </c>
      <c r="D626" s="81">
        <f t="shared" si="18"/>
        <v>6.7627976802335787E-3</v>
      </c>
      <c r="E626" s="40">
        <v>44315</v>
      </c>
      <c r="F626" s="24">
        <v>26.209999</v>
      </c>
      <c r="G626" s="81">
        <f t="shared" si="19"/>
        <v>7.63573854006383E-4</v>
      </c>
      <c r="L626" s="40">
        <v>44315</v>
      </c>
      <c r="M626" s="43">
        <v>6.7628000000000002E-3</v>
      </c>
      <c r="N626" s="1">
        <v>7.63573854006383E-4</v>
      </c>
    </row>
    <row r="627" spans="2:14">
      <c r="B627" s="40">
        <v>44316</v>
      </c>
      <c r="C627" s="47">
        <v>4181.17</v>
      </c>
      <c r="D627" s="81">
        <f t="shared" si="18"/>
        <v>-7.1946375018698827E-3</v>
      </c>
      <c r="E627" s="40">
        <v>44316</v>
      </c>
      <c r="F627" s="24">
        <v>25.610001</v>
      </c>
      <c r="G627" s="81">
        <f t="shared" si="19"/>
        <v>-2.2891950510948056E-2</v>
      </c>
      <c r="L627" s="40">
        <v>44316</v>
      </c>
      <c r="M627" s="43">
        <v>-7.1945999999999998E-3</v>
      </c>
      <c r="N627" s="1">
        <v>-2.2891950510948056E-2</v>
      </c>
    </row>
    <row r="628" spans="2:14">
      <c r="B628" s="40">
        <v>44319</v>
      </c>
      <c r="C628" s="47">
        <v>4192.66</v>
      </c>
      <c r="D628" s="81">
        <f t="shared" si="18"/>
        <v>2.7480346410215795E-3</v>
      </c>
      <c r="E628" s="40">
        <v>44319</v>
      </c>
      <c r="F628" s="24">
        <v>26.530000999999999</v>
      </c>
      <c r="G628" s="81">
        <f t="shared" si="19"/>
        <v>3.5923465992836023E-2</v>
      </c>
      <c r="L628" s="40">
        <v>44319</v>
      </c>
      <c r="M628" s="43">
        <v>2.748E-3</v>
      </c>
      <c r="N628" s="1">
        <v>3.5923465992836023E-2</v>
      </c>
    </row>
    <row r="629" spans="2:14">
      <c r="B629" s="40">
        <v>44320</v>
      </c>
      <c r="C629" s="47">
        <v>4164.66</v>
      </c>
      <c r="D629" s="81">
        <f t="shared" si="18"/>
        <v>-6.6783378571121377E-3</v>
      </c>
      <c r="E629" s="40">
        <v>44320</v>
      </c>
      <c r="F629" s="24">
        <v>26.09</v>
      </c>
      <c r="G629" s="81">
        <f t="shared" si="19"/>
        <v>-1.6585035183375951E-2</v>
      </c>
      <c r="L629" s="40">
        <v>44320</v>
      </c>
      <c r="M629" s="43">
        <v>-6.6782999999999999E-3</v>
      </c>
      <c r="N629" s="1">
        <v>-1.6585035183375951E-2</v>
      </c>
    </row>
    <row r="630" spans="2:14">
      <c r="B630" s="40">
        <v>44321</v>
      </c>
      <c r="C630" s="47">
        <v>4167.59</v>
      </c>
      <c r="D630" s="81">
        <f t="shared" si="18"/>
        <v>7.0353882429774472E-4</v>
      </c>
      <c r="E630" s="40">
        <v>44321</v>
      </c>
      <c r="F630" s="24">
        <v>25.870000999999998</v>
      </c>
      <c r="G630" s="81">
        <f t="shared" si="19"/>
        <v>-8.4323112303564818E-3</v>
      </c>
      <c r="L630" s="40">
        <v>44321</v>
      </c>
      <c r="M630" s="43">
        <v>7.0350000000000002E-4</v>
      </c>
      <c r="N630" s="1">
        <v>-8.4323112303564818E-3</v>
      </c>
    </row>
    <row r="631" spans="2:14">
      <c r="B631" s="40">
        <v>44322</v>
      </c>
      <c r="C631" s="47">
        <v>4201.62</v>
      </c>
      <c r="D631" s="81">
        <f t="shared" si="18"/>
        <v>8.1653905494540879E-3</v>
      </c>
      <c r="E631" s="40">
        <v>44322</v>
      </c>
      <c r="F631" s="24">
        <v>26.370000999999998</v>
      </c>
      <c r="G631" s="81">
        <f t="shared" si="19"/>
        <v>1.9327405514982354E-2</v>
      </c>
      <c r="L631" s="40">
        <v>44322</v>
      </c>
      <c r="M631" s="43">
        <v>8.1653999999999997E-3</v>
      </c>
      <c r="N631" s="1">
        <v>1.9327405514982354E-2</v>
      </c>
    </row>
    <row r="632" spans="2:14">
      <c r="B632" s="40">
        <v>44323</v>
      </c>
      <c r="C632" s="47">
        <v>4232.6000000000004</v>
      </c>
      <c r="D632" s="81">
        <f t="shared" si="18"/>
        <v>7.3733464711231989E-3</v>
      </c>
      <c r="E632" s="40">
        <v>44323</v>
      </c>
      <c r="F632" s="24">
        <v>25.809999000000001</v>
      </c>
      <c r="G632" s="81">
        <f t="shared" si="19"/>
        <v>-2.1236328356604828E-2</v>
      </c>
      <c r="L632" s="40">
        <v>44323</v>
      </c>
      <c r="M632" s="43">
        <v>7.3733000000000002E-3</v>
      </c>
      <c r="N632" s="1">
        <v>-2.1236328356604828E-2</v>
      </c>
    </row>
    <row r="633" spans="2:14">
      <c r="B633" s="40">
        <v>44326</v>
      </c>
      <c r="C633" s="47">
        <v>4188.43</v>
      </c>
      <c r="D633" s="81">
        <f t="shared" si="18"/>
        <v>-1.0435666020885526E-2</v>
      </c>
      <c r="E633" s="40">
        <v>44326</v>
      </c>
      <c r="F633" s="24">
        <v>26.92</v>
      </c>
      <c r="G633" s="81">
        <f t="shared" si="19"/>
        <v>4.3006627005293563E-2</v>
      </c>
      <c r="L633" s="40">
        <v>44326</v>
      </c>
      <c r="M633" s="43">
        <v>-1.0435699999999999E-2</v>
      </c>
      <c r="N633" s="1">
        <v>4.3006627005293563E-2</v>
      </c>
    </row>
    <row r="634" spans="2:14">
      <c r="B634" s="40">
        <v>44327</v>
      </c>
      <c r="C634" s="47">
        <v>4152.1000000000004</v>
      </c>
      <c r="D634" s="81">
        <f t="shared" si="18"/>
        <v>-8.6738945141735524E-3</v>
      </c>
      <c r="E634" s="40">
        <v>44327</v>
      </c>
      <c r="F634" s="24">
        <v>26.950001</v>
      </c>
      <c r="G634" s="81">
        <f t="shared" si="19"/>
        <v>1.1144502228825903E-3</v>
      </c>
      <c r="L634" s="40">
        <v>44327</v>
      </c>
      <c r="M634" s="43">
        <v>-8.6739E-3</v>
      </c>
      <c r="N634" s="1">
        <v>1.1144502228825903E-3</v>
      </c>
    </row>
    <row r="635" spans="2:14">
      <c r="B635" s="40">
        <v>44328</v>
      </c>
      <c r="C635" s="47">
        <v>4063.04</v>
      </c>
      <c r="D635" s="81">
        <f t="shared" si="18"/>
        <v>-2.1449387057151936E-2</v>
      </c>
      <c r="E635" s="40">
        <v>44328</v>
      </c>
      <c r="F635" s="24">
        <v>25.719999000000001</v>
      </c>
      <c r="G635" s="81">
        <f t="shared" si="19"/>
        <v>-4.5640146729493569E-2</v>
      </c>
      <c r="L635" s="40">
        <v>44328</v>
      </c>
      <c r="M635" s="43">
        <v>-2.14494E-2</v>
      </c>
      <c r="N635" s="1">
        <v>-4.5640146729493569E-2</v>
      </c>
    </row>
    <row r="636" spans="2:14">
      <c r="B636" s="40">
        <v>44329</v>
      </c>
      <c r="C636" s="47">
        <v>4112.5</v>
      </c>
      <c r="D636" s="81">
        <f t="shared" si="18"/>
        <v>1.2173151138064053E-2</v>
      </c>
      <c r="E636" s="40">
        <v>44329</v>
      </c>
      <c r="F636" s="24">
        <v>25.889999</v>
      </c>
      <c r="G636" s="81">
        <f t="shared" si="19"/>
        <v>6.6096425586952279E-3</v>
      </c>
      <c r="L636" s="40">
        <v>44329</v>
      </c>
      <c r="M636" s="43">
        <v>1.21732E-2</v>
      </c>
      <c r="N636" s="1">
        <v>6.6096425586952279E-3</v>
      </c>
    </row>
    <row r="637" spans="2:14">
      <c r="B637" s="40">
        <v>44330</v>
      </c>
      <c r="C637" s="47">
        <v>4173.8500000000004</v>
      </c>
      <c r="D637" s="81">
        <f t="shared" si="18"/>
        <v>1.4917933130699224E-2</v>
      </c>
      <c r="E637" s="40">
        <v>44330</v>
      </c>
      <c r="F637" s="24">
        <v>26.370000999999998</v>
      </c>
      <c r="G637" s="81">
        <f t="shared" si="19"/>
        <v>1.8540054791041038E-2</v>
      </c>
      <c r="L637" s="40">
        <v>44330</v>
      </c>
      <c r="M637" s="43">
        <v>1.49179E-2</v>
      </c>
      <c r="N637" s="1">
        <v>1.8540054791041038E-2</v>
      </c>
    </row>
    <row r="638" spans="2:14">
      <c r="B638" s="40">
        <v>44333</v>
      </c>
      <c r="C638" s="47">
        <v>4163.29</v>
      </c>
      <c r="D638" s="81">
        <f t="shared" si="18"/>
        <v>-2.5300382141189015E-3</v>
      </c>
      <c r="E638" s="40">
        <v>44333</v>
      </c>
      <c r="F638" s="24">
        <v>26.360001</v>
      </c>
      <c r="G638" s="81">
        <f t="shared" si="19"/>
        <v>-3.7921879487212706E-4</v>
      </c>
      <c r="L638" s="40">
        <v>44333</v>
      </c>
      <c r="M638" s="43">
        <v>-2.5300000000000001E-3</v>
      </c>
      <c r="N638" s="1">
        <v>-3.7921879487212706E-4</v>
      </c>
    </row>
    <row r="639" spans="2:14">
      <c r="B639" s="40">
        <v>44334</v>
      </c>
      <c r="C639" s="47">
        <v>4127.83</v>
      </c>
      <c r="D639" s="81">
        <f t="shared" si="18"/>
        <v>-8.5173024218827553E-3</v>
      </c>
      <c r="E639" s="40">
        <v>44334</v>
      </c>
      <c r="F639" s="24">
        <v>26.299999</v>
      </c>
      <c r="G639" s="81">
        <f t="shared" si="19"/>
        <v>-2.276251810460872E-3</v>
      </c>
      <c r="L639" s="40">
        <v>44334</v>
      </c>
      <c r="M639" s="43">
        <v>-8.5173000000000002E-3</v>
      </c>
      <c r="N639" s="1">
        <v>-2.276251810460872E-3</v>
      </c>
    </row>
    <row r="640" spans="2:14">
      <c r="B640" s="40">
        <v>44335</v>
      </c>
      <c r="C640" s="47">
        <v>4115.68</v>
      </c>
      <c r="D640" s="81">
        <f t="shared" si="18"/>
        <v>-2.9434351705374118E-3</v>
      </c>
      <c r="E640" s="40">
        <v>44335</v>
      </c>
      <c r="F640" s="24">
        <v>25.42</v>
      </c>
      <c r="G640" s="81">
        <f t="shared" si="19"/>
        <v>-3.3460039295058475E-2</v>
      </c>
      <c r="L640" s="40">
        <v>44335</v>
      </c>
      <c r="M640" s="43">
        <v>-2.9434000000000001E-3</v>
      </c>
      <c r="N640" s="1">
        <v>-3.3460039295058475E-2</v>
      </c>
    </row>
    <row r="641" spans="2:14">
      <c r="B641" s="40">
        <v>44336</v>
      </c>
      <c r="C641" s="47">
        <v>4159.12</v>
      </c>
      <c r="D641" s="81">
        <f t="shared" si="18"/>
        <v>1.0554756443649449E-2</v>
      </c>
      <c r="E641" s="40">
        <v>44336</v>
      </c>
      <c r="F641" s="24">
        <v>25.48</v>
      </c>
      <c r="G641" s="81">
        <f t="shared" si="19"/>
        <v>2.360346184106854E-3</v>
      </c>
      <c r="L641" s="40">
        <v>44336</v>
      </c>
      <c r="M641" s="43">
        <v>1.05548E-2</v>
      </c>
      <c r="N641" s="1">
        <v>2.360346184106854E-3</v>
      </c>
    </row>
    <row r="642" spans="2:14">
      <c r="B642" s="40">
        <v>44337</v>
      </c>
      <c r="C642" s="47">
        <v>4155.8599999999997</v>
      </c>
      <c r="D642" s="81">
        <f t="shared" si="18"/>
        <v>-7.8381965415763588E-4</v>
      </c>
      <c r="E642" s="40">
        <v>44337</v>
      </c>
      <c r="F642" s="24">
        <v>25.799999</v>
      </c>
      <c r="G642" s="81">
        <f t="shared" si="19"/>
        <v>1.2558830455259073E-2</v>
      </c>
      <c r="L642" s="40">
        <v>44337</v>
      </c>
      <c r="M642" s="43">
        <v>-7.8379999999999997E-4</v>
      </c>
      <c r="N642" s="1">
        <v>1.2558830455259073E-2</v>
      </c>
    </row>
    <row r="643" spans="2:14">
      <c r="B643" s="40">
        <v>44340</v>
      </c>
      <c r="C643" s="47">
        <v>4197.05</v>
      </c>
      <c r="D643" s="81">
        <f t="shared" si="18"/>
        <v>9.9113059631461553E-3</v>
      </c>
      <c r="E643" s="40">
        <v>44340</v>
      </c>
      <c r="F643" s="24">
        <v>25.57</v>
      </c>
      <c r="G643" s="81">
        <f t="shared" si="19"/>
        <v>-8.9146902680112827E-3</v>
      </c>
      <c r="L643" s="40">
        <v>44340</v>
      </c>
      <c r="M643" s="43">
        <v>9.9112999999999996E-3</v>
      </c>
      <c r="N643" s="1">
        <v>-8.9146902680112827E-3</v>
      </c>
    </row>
    <row r="644" spans="2:14">
      <c r="B644" s="40">
        <v>44341</v>
      </c>
      <c r="C644" s="47">
        <v>4188.13</v>
      </c>
      <c r="D644" s="81">
        <f t="shared" si="18"/>
        <v>-2.1253022956601031E-3</v>
      </c>
      <c r="E644" s="40">
        <v>44341</v>
      </c>
      <c r="F644" s="24">
        <v>25.690000999999999</v>
      </c>
      <c r="G644" s="81">
        <f t="shared" si="19"/>
        <v>4.6930387172468002E-3</v>
      </c>
      <c r="L644" s="40">
        <v>44341</v>
      </c>
      <c r="M644" s="43">
        <v>-2.1253000000000001E-3</v>
      </c>
      <c r="N644" s="1">
        <v>4.6930387172468002E-3</v>
      </c>
    </row>
    <row r="645" spans="2:14">
      <c r="B645" s="40">
        <v>44342</v>
      </c>
      <c r="C645" s="47">
        <v>4195.99</v>
      </c>
      <c r="D645" s="81">
        <f t="shared" si="18"/>
        <v>1.876732575158746E-3</v>
      </c>
      <c r="E645" s="40">
        <v>44342</v>
      </c>
      <c r="F645" s="24">
        <v>25.76</v>
      </c>
      <c r="G645" s="81">
        <f t="shared" si="19"/>
        <v>2.7247566086121555E-3</v>
      </c>
      <c r="L645" s="40">
        <v>44342</v>
      </c>
      <c r="M645" s="43">
        <v>1.8767E-3</v>
      </c>
      <c r="N645" s="1">
        <v>2.7247566086121555E-3</v>
      </c>
    </row>
    <row r="646" spans="2:14">
      <c r="B646" s="40">
        <v>44343</v>
      </c>
      <c r="C646" s="47">
        <v>4200.88</v>
      </c>
      <c r="D646" s="81">
        <f t="shared" ref="D646:D709" si="20">C646/C645-1</f>
        <v>1.1653983922745859E-3</v>
      </c>
      <c r="E646" s="40">
        <v>44343</v>
      </c>
      <c r="F646" s="24">
        <v>26.059999000000001</v>
      </c>
      <c r="G646" s="81">
        <f t="shared" ref="G646:G709" si="21">F646/F645-1</f>
        <v>1.1645923913043532E-2</v>
      </c>
      <c r="L646" s="40">
        <v>44343</v>
      </c>
      <c r="M646" s="43">
        <v>1.1654E-3</v>
      </c>
      <c r="N646" s="1">
        <v>1.1645923913043532E-2</v>
      </c>
    </row>
    <row r="647" spans="2:14">
      <c r="B647" s="40">
        <v>44344</v>
      </c>
      <c r="C647" s="47">
        <v>4204.1099999999997</v>
      </c>
      <c r="D647" s="81">
        <f t="shared" si="20"/>
        <v>7.688865190149663E-4</v>
      </c>
      <c r="E647" s="40">
        <v>44344</v>
      </c>
      <c r="F647" s="24">
        <v>26.6</v>
      </c>
      <c r="G647" s="81">
        <f t="shared" si="21"/>
        <v>2.0721451293992832E-2</v>
      </c>
      <c r="L647" s="40">
        <v>44344</v>
      </c>
      <c r="M647" s="43">
        <v>7.6889999999999999E-4</v>
      </c>
      <c r="N647" s="1">
        <v>2.0721451293992832E-2</v>
      </c>
    </row>
    <row r="648" spans="2:14">
      <c r="B648" s="40">
        <v>44348</v>
      </c>
      <c r="C648" s="47">
        <v>4202.04</v>
      </c>
      <c r="D648" s="81">
        <f t="shared" si="20"/>
        <v>-4.923753184382651E-4</v>
      </c>
      <c r="E648" s="40">
        <v>44348</v>
      </c>
      <c r="F648" s="24">
        <v>26.6</v>
      </c>
      <c r="G648" s="81">
        <f t="shared" si="21"/>
        <v>0</v>
      </c>
      <c r="L648" s="40">
        <v>44348</v>
      </c>
      <c r="M648" s="43">
        <v>-4.9240000000000004E-4</v>
      </c>
      <c r="N648" s="1">
        <v>0</v>
      </c>
    </row>
    <row r="649" spans="2:14">
      <c r="B649" s="40">
        <v>44349</v>
      </c>
      <c r="C649" s="47">
        <v>4208.12</v>
      </c>
      <c r="D649" s="81">
        <f t="shared" si="20"/>
        <v>1.4469162597214869E-3</v>
      </c>
      <c r="E649" s="40">
        <v>44349</v>
      </c>
      <c r="F649" s="24">
        <v>27.389999</v>
      </c>
      <c r="G649" s="81">
        <f t="shared" si="21"/>
        <v>2.9699210526315634E-2</v>
      </c>
      <c r="L649" s="40">
        <v>44349</v>
      </c>
      <c r="M649" s="43">
        <v>1.4469000000000001E-3</v>
      </c>
      <c r="N649" s="1">
        <v>2.9699210526315634E-2</v>
      </c>
    </row>
    <row r="650" spans="2:14">
      <c r="B650" s="40">
        <v>44350</v>
      </c>
      <c r="C650" s="47">
        <v>4192.8500000000004</v>
      </c>
      <c r="D650" s="81">
        <f t="shared" si="20"/>
        <v>-3.6286988013648491E-3</v>
      </c>
      <c r="E650" s="40">
        <v>44350</v>
      </c>
      <c r="F650" s="24">
        <v>27.559999000000001</v>
      </c>
      <c r="G650" s="81">
        <f t="shared" si="21"/>
        <v>6.2066449874642604E-3</v>
      </c>
      <c r="L650" s="40">
        <v>44350</v>
      </c>
      <c r="M650" s="43">
        <v>-3.6286999999999999E-3</v>
      </c>
      <c r="N650" s="1">
        <v>6.2066449874642604E-3</v>
      </c>
    </row>
    <row r="651" spans="2:14">
      <c r="B651" s="40">
        <v>44351</v>
      </c>
      <c r="C651" s="47">
        <v>4229.8900000000003</v>
      </c>
      <c r="D651" s="81">
        <f t="shared" si="20"/>
        <v>8.8340865998068896E-3</v>
      </c>
      <c r="E651" s="40">
        <v>44351</v>
      </c>
      <c r="F651" s="24">
        <v>27.58</v>
      </c>
      <c r="G651" s="81">
        <f t="shared" si="21"/>
        <v>7.2572571573736866E-4</v>
      </c>
      <c r="L651" s="40">
        <v>44351</v>
      </c>
      <c r="M651" s="43">
        <v>8.8340999999999992E-3</v>
      </c>
      <c r="N651" s="1">
        <v>7.2572571573736866E-4</v>
      </c>
    </row>
    <row r="652" spans="2:14">
      <c r="B652" s="40">
        <v>44354</v>
      </c>
      <c r="C652" s="47">
        <v>4226.5200000000004</v>
      </c>
      <c r="D652" s="81">
        <f t="shared" si="20"/>
        <v>-7.9671102558220852E-4</v>
      </c>
      <c r="E652" s="40">
        <v>44354</v>
      </c>
      <c r="F652" s="24">
        <v>27.77</v>
      </c>
      <c r="G652" s="81">
        <f t="shared" si="21"/>
        <v>6.8890500362581708E-3</v>
      </c>
      <c r="L652" s="40">
        <v>44354</v>
      </c>
      <c r="M652" s="43">
        <v>-7.9670000000000001E-4</v>
      </c>
      <c r="N652" s="1">
        <v>6.8890500362581708E-3</v>
      </c>
    </row>
    <row r="653" spans="2:14">
      <c r="B653" s="40">
        <v>44355</v>
      </c>
      <c r="C653" s="47">
        <v>4227.26</v>
      </c>
      <c r="D653" s="81">
        <f t="shared" si="20"/>
        <v>1.7508493985585183E-4</v>
      </c>
      <c r="E653" s="40">
        <v>44355</v>
      </c>
      <c r="F653" s="24">
        <v>27.959999</v>
      </c>
      <c r="G653" s="81">
        <f t="shared" si="21"/>
        <v>6.841879726323441E-3</v>
      </c>
      <c r="L653" s="40">
        <v>44355</v>
      </c>
      <c r="M653" s="43">
        <v>1.751E-4</v>
      </c>
      <c r="N653" s="1">
        <v>6.841879726323441E-3</v>
      </c>
    </row>
    <row r="654" spans="2:14">
      <c r="B654" s="40">
        <v>44356</v>
      </c>
      <c r="C654" s="47">
        <v>4219.55</v>
      </c>
      <c r="D654" s="81">
        <f t="shared" si="20"/>
        <v>-1.8238764589828538E-3</v>
      </c>
      <c r="E654" s="40">
        <v>44356</v>
      </c>
      <c r="F654" s="24">
        <v>27.67</v>
      </c>
      <c r="G654" s="81">
        <f t="shared" si="21"/>
        <v>-1.0371924548352007E-2</v>
      </c>
      <c r="L654" s="40">
        <v>44356</v>
      </c>
      <c r="M654" s="43">
        <v>-1.8239E-3</v>
      </c>
      <c r="N654" s="1">
        <v>-1.0371924548352007E-2</v>
      </c>
    </row>
    <row r="655" spans="2:14">
      <c r="B655" s="40">
        <v>44357</v>
      </c>
      <c r="C655" s="47">
        <v>4239.18</v>
      </c>
      <c r="D655" s="81">
        <f t="shared" si="20"/>
        <v>4.652154850635748E-3</v>
      </c>
      <c r="E655" s="40">
        <v>44357</v>
      </c>
      <c r="F655" s="24">
        <v>29</v>
      </c>
      <c r="G655" s="81">
        <f t="shared" si="21"/>
        <v>4.8066498012287573E-2</v>
      </c>
      <c r="L655" s="40">
        <v>44357</v>
      </c>
      <c r="M655" s="43">
        <v>4.6522000000000004E-3</v>
      </c>
      <c r="N655" s="1">
        <v>4.8066498012287573E-2</v>
      </c>
    </row>
    <row r="656" spans="2:14">
      <c r="B656" s="40">
        <v>44358</v>
      </c>
      <c r="C656" s="47">
        <v>4247.4399999999996</v>
      </c>
      <c r="D656" s="81">
        <f t="shared" si="20"/>
        <v>1.9484900381676606E-3</v>
      </c>
      <c r="E656" s="40">
        <v>44358</v>
      </c>
      <c r="F656" s="24">
        <v>29</v>
      </c>
      <c r="G656" s="81">
        <f t="shared" si="21"/>
        <v>0</v>
      </c>
      <c r="L656" s="40">
        <v>44358</v>
      </c>
      <c r="M656" s="43">
        <v>1.9484999999999999E-3</v>
      </c>
      <c r="N656" s="1">
        <v>0</v>
      </c>
    </row>
    <row r="657" spans="2:14">
      <c r="B657" s="40">
        <v>44361</v>
      </c>
      <c r="C657" s="47">
        <v>4255.1499999999996</v>
      </c>
      <c r="D657" s="81">
        <f t="shared" si="20"/>
        <v>1.8152110447704484E-3</v>
      </c>
      <c r="E657" s="40">
        <v>44361</v>
      </c>
      <c r="F657" s="24">
        <v>28.75</v>
      </c>
      <c r="G657" s="81">
        <f t="shared" si="21"/>
        <v>-8.6206896551723755E-3</v>
      </c>
      <c r="L657" s="40">
        <v>44361</v>
      </c>
      <c r="M657" s="43">
        <v>1.8152000000000001E-3</v>
      </c>
      <c r="N657" s="1">
        <v>-8.6206896551723755E-3</v>
      </c>
    </row>
    <row r="658" spans="2:14">
      <c r="B658" s="40">
        <v>44362</v>
      </c>
      <c r="C658" s="47">
        <v>4246.59</v>
      </c>
      <c r="D658" s="81">
        <f t="shared" si="20"/>
        <v>-2.0116799642784233E-3</v>
      </c>
      <c r="E658" s="40">
        <v>44362</v>
      </c>
      <c r="F658" s="24">
        <v>28.299999</v>
      </c>
      <c r="G658" s="81">
        <f t="shared" si="21"/>
        <v>-1.5652208695652203E-2</v>
      </c>
      <c r="L658" s="40">
        <v>44362</v>
      </c>
      <c r="M658" s="43">
        <v>-2.0116999999999999E-3</v>
      </c>
      <c r="N658" s="1">
        <v>-1.5652208695652203E-2</v>
      </c>
    </row>
    <row r="659" spans="2:14">
      <c r="B659" s="40">
        <v>44363</v>
      </c>
      <c r="C659" s="47">
        <v>4223.7</v>
      </c>
      <c r="D659" s="81">
        <f t="shared" si="20"/>
        <v>-5.3902072015429292E-3</v>
      </c>
      <c r="E659" s="40">
        <v>44363</v>
      </c>
      <c r="F659" s="24">
        <v>27.57</v>
      </c>
      <c r="G659" s="81">
        <f t="shared" si="21"/>
        <v>-2.579501857932931E-2</v>
      </c>
      <c r="L659" s="40">
        <v>44363</v>
      </c>
      <c r="M659" s="43">
        <v>-5.3902000000000004E-3</v>
      </c>
      <c r="N659" s="1">
        <v>-2.579501857932931E-2</v>
      </c>
    </row>
    <row r="660" spans="2:14">
      <c r="B660" s="40">
        <v>44364</v>
      </c>
      <c r="C660" s="47">
        <v>4221.8599999999997</v>
      </c>
      <c r="D660" s="81">
        <f t="shared" si="20"/>
        <v>-4.3563700073401268E-4</v>
      </c>
      <c r="E660" s="40">
        <v>44364</v>
      </c>
      <c r="F660" s="24">
        <v>27.889999</v>
      </c>
      <c r="G660" s="81">
        <f t="shared" si="21"/>
        <v>1.1606782734856713E-2</v>
      </c>
      <c r="L660" s="40">
        <v>44364</v>
      </c>
      <c r="M660" s="43">
        <v>-4.3560000000000002E-4</v>
      </c>
      <c r="N660" s="1">
        <v>1.1606782734856713E-2</v>
      </c>
    </row>
    <row r="661" spans="2:14">
      <c r="B661" s="40">
        <v>44365</v>
      </c>
      <c r="C661" s="47">
        <v>4166.45</v>
      </c>
      <c r="D661" s="81">
        <f t="shared" si="20"/>
        <v>-1.3124547000611053E-2</v>
      </c>
      <c r="E661" s="40">
        <v>44365</v>
      </c>
      <c r="F661" s="24">
        <v>27.57</v>
      </c>
      <c r="G661" s="81">
        <f t="shared" si="21"/>
        <v>-1.1473611024510944E-2</v>
      </c>
      <c r="L661" s="40">
        <v>44365</v>
      </c>
      <c r="M661" s="43">
        <v>-1.3124500000000001E-2</v>
      </c>
      <c r="N661" s="1">
        <v>-1.1473611024510944E-2</v>
      </c>
    </row>
    <row r="662" spans="2:14">
      <c r="B662" s="40">
        <v>44368</v>
      </c>
      <c r="C662" s="47">
        <v>4224.79</v>
      </c>
      <c r="D662" s="81">
        <f t="shared" si="20"/>
        <v>1.4002328121062391E-2</v>
      </c>
      <c r="E662" s="40">
        <v>44368</v>
      </c>
      <c r="F662" s="24">
        <v>28.129999000000002</v>
      </c>
      <c r="G662" s="81">
        <f t="shared" si="21"/>
        <v>2.0311896989481326E-2</v>
      </c>
      <c r="L662" s="40">
        <v>44368</v>
      </c>
      <c r="M662" s="43">
        <v>1.4002300000000001E-2</v>
      </c>
      <c r="N662" s="1">
        <v>2.0311896989481326E-2</v>
      </c>
    </row>
    <row r="663" spans="2:14">
      <c r="B663" s="40">
        <v>44369</v>
      </c>
      <c r="C663" s="47">
        <v>4246.4399999999996</v>
      </c>
      <c r="D663" s="81">
        <f t="shared" si="20"/>
        <v>5.124515064653945E-3</v>
      </c>
      <c r="E663" s="40">
        <v>44369</v>
      </c>
      <c r="F663" s="24">
        <v>27.85</v>
      </c>
      <c r="G663" s="81">
        <f t="shared" si="21"/>
        <v>-9.9537507982137008E-3</v>
      </c>
      <c r="L663" s="40">
        <v>44369</v>
      </c>
      <c r="M663" s="43">
        <v>5.1244999999999997E-3</v>
      </c>
      <c r="N663" s="1">
        <v>-9.9537507982137008E-3</v>
      </c>
    </row>
    <row r="664" spans="2:14">
      <c r="B664" s="40">
        <v>44370</v>
      </c>
      <c r="C664" s="47">
        <v>4241.84</v>
      </c>
      <c r="D664" s="81">
        <f t="shared" si="20"/>
        <v>-1.0832603310065858E-3</v>
      </c>
      <c r="E664" s="40">
        <v>44370</v>
      </c>
      <c r="F664" s="24">
        <v>26.98</v>
      </c>
      <c r="G664" s="81">
        <f t="shared" si="21"/>
        <v>-3.1238779174147302E-2</v>
      </c>
      <c r="L664" s="40">
        <v>44370</v>
      </c>
      <c r="M664" s="43">
        <v>-1.0832999999999999E-3</v>
      </c>
      <c r="N664" s="1">
        <v>-3.1238779174147302E-2</v>
      </c>
    </row>
    <row r="665" spans="2:14">
      <c r="B665" s="40">
        <v>44371</v>
      </c>
      <c r="C665" s="47">
        <v>4266.49</v>
      </c>
      <c r="D665" s="81">
        <f t="shared" si="20"/>
        <v>5.8111574222505791E-3</v>
      </c>
      <c r="E665" s="40">
        <v>44371</v>
      </c>
      <c r="F665" s="24">
        <v>26.32</v>
      </c>
      <c r="G665" s="81">
        <f t="shared" si="21"/>
        <v>-2.4462564862861358E-2</v>
      </c>
      <c r="L665" s="40">
        <v>44371</v>
      </c>
      <c r="M665" s="43">
        <v>5.8111999999999999E-3</v>
      </c>
      <c r="N665" s="1">
        <v>-2.4462564862861358E-2</v>
      </c>
    </row>
    <row r="666" spans="2:14">
      <c r="B666" s="40">
        <v>44372</v>
      </c>
      <c r="C666" s="47">
        <v>4280.7</v>
      </c>
      <c r="D666" s="81">
        <f t="shared" si="20"/>
        <v>3.3306066579319449E-3</v>
      </c>
      <c r="E666" s="40">
        <v>44372</v>
      </c>
      <c r="F666" s="24">
        <v>26.379999000000002</v>
      </c>
      <c r="G666" s="81">
        <f t="shared" si="21"/>
        <v>2.2795972644378271E-3</v>
      </c>
      <c r="L666" s="40">
        <v>44372</v>
      </c>
      <c r="M666" s="43">
        <v>3.3306E-3</v>
      </c>
      <c r="N666" s="1">
        <v>2.2795972644378271E-3</v>
      </c>
    </row>
    <row r="667" spans="2:14">
      <c r="B667" s="40">
        <v>44375</v>
      </c>
      <c r="C667" s="47">
        <v>4290.6099999999997</v>
      </c>
      <c r="D667" s="81">
        <f t="shared" si="20"/>
        <v>2.3150419323942906E-3</v>
      </c>
      <c r="E667" s="40">
        <v>44375</v>
      </c>
      <c r="F667" s="24">
        <v>26.469999000000001</v>
      </c>
      <c r="G667" s="81">
        <f t="shared" si="21"/>
        <v>3.4116756410793592E-3</v>
      </c>
      <c r="L667" s="40">
        <v>44375</v>
      </c>
      <c r="M667" s="43">
        <v>2.3149999999999998E-3</v>
      </c>
      <c r="N667" s="1">
        <v>3.4116756410793592E-3</v>
      </c>
    </row>
    <row r="668" spans="2:14">
      <c r="B668" s="40">
        <v>44376</v>
      </c>
      <c r="C668" s="47">
        <v>4291.8</v>
      </c>
      <c r="D668" s="81">
        <f t="shared" si="20"/>
        <v>2.7734984069871516E-4</v>
      </c>
      <c r="E668" s="40">
        <v>44376</v>
      </c>
      <c r="F668" s="24">
        <v>25.33</v>
      </c>
      <c r="G668" s="81">
        <f t="shared" si="21"/>
        <v>-4.3067587573388355E-2</v>
      </c>
      <c r="L668" s="40">
        <v>44376</v>
      </c>
      <c r="M668" s="43">
        <v>2.7730000000000002E-4</v>
      </c>
      <c r="N668" s="1">
        <v>-4.3067587573388355E-2</v>
      </c>
    </row>
    <row r="669" spans="2:14">
      <c r="B669" s="40">
        <v>44377</v>
      </c>
      <c r="C669" s="47">
        <v>4297.5</v>
      </c>
      <c r="D669" s="81">
        <f t="shared" si="20"/>
        <v>1.3281140780092571E-3</v>
      </c>
      <c r="E669" s="40">
        <v>44377</v>
      </c>
      <c r="F669" s="24">
        <v>24.85</v>
      </c>
      <c r="G669" s="81">
        <f t="shared" si="21"/>
        <v>-1.8949861823924108E-2</v>
      </c>
      <c r="L669" s="40">
        <v>44377</v>
      </c>
      <c r="M669" s="43">
        <v>1.3281E-3</v>
      </c>
      <c r="N669" s="1">
        <v>-1.8949861823924108E-2</v>
      </c>
    </row>
    <row r="670" spans="2:14">
      <c r="B670" s="40">
        <v>44378</v>
      </c>
      <c r="C670" s="47">
        <v>4319.9399999999996</v>
      </c>
      <c r="D670" s="81">
        <f t="shared" si="20"/>
        <v>5.2216404886560319E-3</v>
      </c>
      <c r="E670" s="40">
        <v>44378</v>
      </c>
      <c r="F670" s="24">
        <v>25.4</v>
      </c>
      <c r="G670" s="81">
        <f t="shared" si="21"/>
        <v>2.2132796780683917E-2</v>
      </c>
      <c r="L670" s="40">
        <v>44378</v>
      </c>
      <c r="M670" s="43">
        <v>5.2215999999999999E-3</v>
      </c>
      <c r="N670" s="1">
        <v>2.2132796780683917E-2</v>
      </c>
    </row>
    <row r="671" spans="2:14">
      <c r="B671" s="40">
        <v>44379</v>
      </c>
      <c r="C671" s="47">
        <v>4352.34</v>
      </c>
      <c r="D671" s="81">
        <f t="shared" si="20"/>
        <v>7.5001041681135305E-3</v>
      </c>
      <c r="E671" s="40">
        <v>44379</v>
      </c>
      <c r="F671" s="24">
        <v>25.49</v>
      </c>
      <c r="G671" s="81">
        <f t="shared" si="21"/>
        <v>3.5433070866142113E-3</v>
      </c>
      <c r="L671" s="40">
        <v>44379</v>
      </c>
      <c r="M671" s="43">
        <v>7.5001E-3</v>
      </c>
      <c r="N671" s="1">
        <v>3.5433070866142113E-3</v>
      </c>
    </row>
    <row r="672" spans="2:14">
      <c r="B672" s="40">
        <v>44383</v>
      </c>
      <c r="C672" s="47">
        <v>4343.54</v>
      </c>
      <c r="D672" s="81">
        <f t="shared" si="20"/>
        <v>-2.0219008625245172E-3</v>
      </c>
      <c r="E672" s="40">
        <v>44383</v>
      </c>
      <c r="F672" s="24">
        <v>25.280000999999999</v>
      </c>
      <c r="G672" s="81">
        <f t="shared" si="21"/>
        <v>-8.2384856806591023E-3</v>
      </c>
      <c r="L672" s="40">
        <v>44383</v>
      </c>
      <c r="M672" s="43">
        <v>-2.0219000000000001E-3</v>
      </c>
      <c r="N672" s="1">
        <v>-8.2384856806591023E-3</v>
      </c>
    </row>
    <row r="673" spans="2:14">
      <c r="B673" s="40">
        <v>44384</v>
      </c>
      <c r="C673" s="47">
        <v>4358.13</v>
      </c>
      <c r="D673" s="81">
        <f t="shared" si="20"/>
        <v>3.359011313352811E-3</v>
      </c>
      <c r="E673" s="40">
        <v>44384</v>
      </c>
      <c r="F673" s="24">
        <v>25.790001</v>
      </c>
      <c r="G673" s="81">
        <f t="shared" si="21"/>
        <v>2.0174049834887242E-2</v>
      </c>
      <c r="L673" s="40">
        <v>44384</v>
      </c>
      <c r="M673" s="43">
        <v>3.359E-3</v>
      </c>
      <c r="N673" s="1">
        <v>2.0174049834887242E-2</v>
      </c>
    </row>
    <row r="674" spans="2:14">
      <c r="B674" s="40">
        <v>44385</v>
      </c>
      <c r="C674" s="47">
        <v>4320.82</v>
      </c>
      <c r="D674" s="81">
        <f t="shared" si="20"/>
        <v>-8.56101125941644E-3</v>
      </c>
      <c r="E674" s="40">
        <v>44385</v>
      </c>
      <c r="F674" s="24">
        <v>25.75</v>
      </c>
      <c r="G674" s="81">
        <f t="shared" si="21"/>
        <v>-1.5510274699097604E-3</v>
      </c>
      <c r="L674" s="40">
        <v>44385</v>
      </c>
      <c r="M674" s="43">
        <v>-8.5609999999999992E-3</v>
      </c>
      <c r="N674" s="1">
        <v>-1.5510274699097604E-3</v>
      </c>
    </row>
    <row r="675" spans="2:14">
      <c r="B675" s="40">
        <v>44386</v>
      </c>
      <c r="C675" s="47">
        <v>4369.55</v>
      </c>
      <c r="D675" s="81">
        <f t="shared" si="20"/>
        <v>1.1277951870247049E-2</v>
      </c>
      <c r="E675" s="40">
        <v>44386</v>
      </c>
      <c r="F675" s="24">
        <v>26.540001</v>
      </c>
      <c r="G675" s="81">
        <f t="shared" si="21"/>
        <v>3.0679650485436971E-2</v>
      </c>
      <c r="L675" s="40">
        <v>44386</v>
      </c>
      <c r="M675" s="43">
        <v>1.1278E-2</v>
      </c>
      <c r="N675" s="1">
        <v>3.0679650485436971E-2</v>
      </c>
    </row>
    <row r="676" spans="2:14">
      <c r="B676" s="40">
        <v>44389</v>
      </c>
      <c r="C676" s="47">
        <v>4384.63</v>
      </c>
      <c r="D676" s="81">
        <f t="shared" si="20"/>
        <v>3.4511562975592103E-3</v>
      </c>
      <c r="E676" s="40">
        <v>44389</v>
      </c>
      <c r="F676" s="24">
        <v>26.219999000000001</v>
      </c>
      <c r="G676" s="81">
        <f t="shared" si="21"/>
        <v>-1.2057346945842151E-2</v>
      </c>
      <c r="L676" s="40">
        <v>44389</v>
      </c>
      <c r="M676" s="43">
        <v>3.4512000000000002E-3</v>
      </c>
      <c r="N676" s="1">
        <v>-1.2057346945842151E-2</v>
      </c>
    </row>
    <row r="677" spans="2:14">
      <c r="B677" s="40">
        <v>44390</v>
      </c>
      <c r="C677" s="47">
        <v>4369.21</v>
      </c>
      <c r="D677" s="81">
        <f t="shared" si="20"/>
        <v>-3.516830382495284E-3</v>
      </c>
      <c r="E677" s="40">
        <v>44390</v>
      </c>
      <c r="F677" s="24">
        <v>25.65</v>
      </c>
      <c r="G677" s="81">
        <f t="shared" si="21"/>
        <v>-2.1739093125060838E-2</v>
      </c>
      <c r="L677" s="40">
        <v>44390</v>
      </c>
      <c r="M677" s="43">
        <v>-3.5168E-3</v>
      </c>
      <c r="N677" s="1">
        <v>-2.1739093125060838E-2</v>
      </c>
    </row>
    <row r="678" spans="2:14">
      <c r="B678" s="40">
        <v>44391</v>
      </c>
      <c r="C678" s="47">
        <v>4374.3</v>
      </c>
      <c r="D678" s="81">
        <f t="shared" si="20"/>
        <v>1.1649703264435818E-3</v>
      </c>
      <c r="E678" s="40">
        <v>44391</v>
      </c>
      <c r="F678" s="24">
        <v>25.450001</v>
      </c>
      <c r="G678" s="81">
        <f t="shared" si="21"/>
        <v>-7.7972319688108804E-3</v>
      </c>
      <c r="L678" s="40">
        <v>44391</v>
      </c>
      <c r="M678" s="43">
        <v>1.165E-3</v>
      </c>
      <c r="N678" s="1">
        <v>-7.7972319688108804E-3</v>
      </c>
    </row>
    <row r="679" spans="2:14">
      <c r="B679" s="40">
        <v>44392</v>
      </c>
      <c r="C679" s="47">
        <v>4360.03</v>
      </c>
      <c r="D679" s="81">
        <f t="shared" si="20"/>
        <v>-3.2622362435132946E-3</v>
      </c>
      <c r="E679" s="40">
        <v>44392</v>
      </c>
      <c r="F679" s="24">
        <v>25.459999</v>
      </c>
      <c r="G679" s="81">
        <f t="shared" si="21"/>
        <v>3.928487075501863E-4</v>
      </c>
      <c r="L679" s="40">
        <v>44392</v>
      </c>
      <c r="M679" s="43">
        <v>-3.2621999999999998E-3</v>
      </c>
      <c r="N679" s="1">
        <v>3.928487075501863E-4</v>
      </c>
    </row>
    <row r="680" spans="2:14">
      <c r="B680" s="40">
        <v>44393</v>
      </c>
      <c r="C680" s="47">
        <v>4327.16</v>
      </c>
      <c r="D680" s="81">
        <f t="shared" si="20"/>
        <v>-7.5389389522548811E-3</v>
      </c>
      <c r="E680" s="40">
        <v>44393</v>
      </c>
      <c r="F680" s="24">
        <v>25.709999</v>
      </c>
      <c r="G680" s="81">
        <f t="shared" si="21"/>
        <v>9.8193248161557722E-3</v>
      </c>
      <c r="L680" s="40">
        <v>44393</v>
      </c>
      <c r="M680" s="43">
        <v>-7.5389000000000003E-3</v>
      </c>
      <c r="N680" s="1">
        <v>9.8193248161557722E-3</v>
      </c>
    </row>
    <row r="681" spans="2:14">
      <c r="B681" s="40">
        <v>44396</v>
      </c>
      <c r="C681" s="47">
        <v>4258.49</v>
      </c>
      <c r="D681" s="81">
        <f t="shared" si="20"/>
        <v>-1.5869531055010655E-2</v>
      </c>
      <c r="E681" s="40">
        <v>44396</v>
      </c>
      <c r="F681" s="24">
        <v>25.85</v>
      </c>
      <c r="G681" s="81">
        <f t="shared" si="21"/>
        <v>5.4453911102836372E-3</v>
      </c>
      <c r="L681" s="40">
        <v>44396</v>
      </c>
      <c r="M681" s="43">
        <v>-1.5869500000000002E-2</v>
      </c>
      <c r="N681" s="1">
        <v>5.4453911102836372E-3</v>
      </c>
    </row>
    <row r="682" spans="2:14">
      <c r="B682" s="40">
        <v>44397</v>
      </c>
      <c r="C682" s="47">
        <v>4323.0600000000004</v>
      </c>
      <c r="D682" s="81">
        <f t="shared" si="20"/>
        <v>1.516265155019747E-2</v>
      </c>
      <c r="E682" s="40">
        <v>44397</v>
      </c>
      <c r="F682" s="24">
        <v>25.67</v>
      </c>
      <c r="G682" s="81">
        <f t="shared" si="21"/>
        <v>-6.9632495164410058E-3</v>
      </c>
      <c r="L682" s="40">
        <v>44397</v>
      </c>
      <c r="M682" s="43">
        <v>1.5162699999999999E-2</v>
      </c>
      <c r="N682" s="1">
        <v>-6.9632495164410058E-3</v>
      </c>
    </row>
    <row r="683" spans="2:14">
      <c r="B683" s="40">
        <v>44398</v>
      </c>
      <c r="C683" s="47">
        <v>4358.6899999999996</v>
      </c>
      <c r="D683" s="81">
        <f t="shared" si="20"/>
        <v>8.2418472100778128E-3</v>
      </c>
      <c r="E683" s="40">
        <v>44398</v>
      </c>
      <c r="F683" s="24">
        <v>25.200001</v>
      </c>
      <c r="G683" s="81">
        <f t="shared" si="21"/>
        <v>-1.8309271523178849E-2</v>
      </c>
      <c r="L683" s="40">
        <v>44398</v>
      </c>
      <c r="M683" s="43">
        <v>8.2418000000000005E-3</v>
      </c>
      <c r="N683" s="1">
        <v>-1.8309271523178849E-2</v>
      </c>
    </row>
    <row r="684" spans="2:14">
      <c r="B684" s="40">
        <v>44399</v>
      </c>
      <c r="C684" s="47">
        <v>4367.4799999999996</v>
      </c>
      <c r="D684" s="81">
        <f t="shared" si="20"/>
        <v>2.0166609692362503E-3</v>
      </c>
      <c r="E684" s="40">
        <v>44399</v>
      </c>
      <c r="F684" s="24">
        <v>24.700001</v>
      </c>
      <c r="G684" s="81">
        <f t="shared" si="21"/>
        <v>-1.984126905391792E-2</v>
      </c>
      <c r="L684" s="40">
        <v>44399</v>
      </c>
      <c r="M684" s="43">
        <v>2.0167000000000002E-3</v>
      </c>
      <c r="N684" s="1">
        <v>-1.984126905391792E-2</v>
      </c>
    </row>
    <row r="685" spans="2:14">
      <c r="B685" s="40">
        <v>44400</v>
      </c>
      <c r="C685" s="47">
        <v>4411.79</v>
      </c>
      <c r="D685" s="81">
        <f t="shared" si="20"/>
        <v>1.0145438559535647E-2</v>
      </c>
      <c r="E685" s="40">
        <v>44400</v>
      </c>
      <c r="F685" s="24">
        <v>24.74</v>
      </c>
      <c r="G685" s="81">
        <f t="shared" si="21"/>
        <v>1.6193926469880715E-3</v>
      </c>
      <c r="L685" s="40">
        <v>44400</v>
      </c>
      <c r="M685" s="43">
        <v>1.0145400000000001E-2</v>
      </c>
      <c r="N685" s="1">
        <v>1.6193926469880715E-3</v>
      </c>
    </row>
    <row r="686" spans="2:14">
      <c r="B686" s="40">
        <v>44403</v>
      </c>
      <c r="C686" s="47">
        <v>4422.3</v>
      </c>
      <c r="D686" s="81">
        <f t="shared" si="20"/>
        <v>2.382253008416102E-3</v>
      </c>
      <c r="E686" s="40">
        <v>44403</v>
      </c>
      <c r="F686" s="24">
        <v>24.58</v>
      </c>
      <c r="G686" s="81">
        <f t="shared" si="21"/>
        <v>-6.4672594987873477E-3</v>
      </c>
      <c r="L686" s="40">
        <v>44403</v>
      </c>
      <c r="M686" s="43">
        <v>2.3823E-3</v>
      </c>
      <c r="N686" s="1">
        <v>-6.4672594987873477E-3</v>
      </c>
    </row>
    <row r="687" spans="2:14">
      <c r="B687" s="40">
        <v>44404</v>
      </c>
      <c r="C687" s="47">
        <v>4401.46</v>
      </c>
      <c r="D687" s="81">
        <f t="shared" si="20"/>
        <v>-4.7124799312575627E-3</v>
      </c>
      <c r="E687" s="40">
        <v>44404</v>
      </c>
      <c r="F687" s="24">
        <v>24.690000999999999</v>
      </c>
      <c r="G687" s="81">
        <f t="shared" si="21"/>
        <v>4.475223759153879E-3</v>
      </c>
      <c r="L687" s="40">
        <v>44404</v>
      </c>
      <c r="M687" s="43">
        <v>-4.7124999999999997E-3</v>
      </c>
      <c r="N687" s="1">
        <v>4.475223759153879E-3</v>
      </c>
    </row>
    <row r="688" spans="2:14">
      <c r="B688" s="40">
        <v>44405</v>
      </c>
      <c r="C688" s="47">
        <v>4400.6400000000003</v>
      </c>
      <c r="D688" s="81">
        <f t="shared" si="20"/>
        <v>-1.8630181803303003E-4</v>
      </c>
      <c r="E688" s="40">
        <v>44405</v>
      </c>
      <c r="F688" s="24">
        <v>24.83</v>
      </c>
      <c r="G688" s="81">
        <f t="shared" si="21"/>
        <v>5.6702711352665247E-3</v>
      </c>
      <c r="L688" s="40">
        <v>44405</v>
      </c>
      <c r="M688" s="43">
        <v>-1.863E-4</v>
      </c>
      <c r="N688" s="1">
        <v>5.6702711352665247E-3</v>
      </c>
    </row>
    <row r="689" spans="2:14">
      <c r="B689" s="40">
        <v>44406</v>
      </c>
      <c r="C689" s="47">
        <v>4419.1499999999996</v>
      </c>
      <c r="D689" s="81">
        <f t="shared" si="20"/>
        <v>4.2062063699823682E-3</v>
      </c>
      <c r="E689" s="40">
        <v>44406</v>
      </c>
      <c r="F689" s="24">
        <v>24.950001</v>
      </c>
      <c r="G689" s="81">
        <f t="shared" si="21"/>
        <v>4.8329037454692969E-3</v>
      </c>
      <c r="L689" s="40">
        <v>44406</v>
      </c>
      <c r="M689" s="43">
        <v>4.2062000000000002E-3</v>
      </c>
      <c r="N689" s="1">
        <v>4.8329037454692969E-3</v>
      </c>
    </row>
    <row r="690" spans="2:14">
      <c r="B690" s="40">
        <v>44407</v>
      </c>
      <c r="C690" s="47">
        <v>4395.26</v>
      </c>
      <c r="D690" s="81">
        <f t="shared" si="20"/>
        <v>-5.4060169942181657E-3</v>
      </c>
      <c r="E690" s="40">
        <v>44407</v>
      </c>
      <c r="F690" s="24">
        <v>24.58</v>
      </c>
      <c r="G690" s="81">
        <f t="shared" si="21"/>
        <v>-1.4829698804420977E-2</v>
      </c>
      <c r="L690" s="40">
        <v>44407</v>
      </c>
      <c r="M690" s="43">
        <v>-5.4060000000000002E-3</v>
      </c>
      <c r="N690" s="1">
        <v>-1.4829698804420977E-2</v>
      </c>
    </row>
    <row r="691" spans="2:14">
      <c r="B691" s="40">
        <v>44410</v>
      </c>
      <c r="C691" s="47">
        <v>4387.16</v>
      </c>
      <c r="D691" s="81">
        <f t="shared" si="20"/>
        <v>-1.8428943907755624E-3</v>
      </c>
      <c r="E691" s="40">
        <v>44410</v>
      </c>
      <c r="F691" s="24">
        <v>24.48</v>
      </c>
      <c r="G691" s="81">
        <f t="shared" si="21"/>
        <v>-4.0683482506101987E-3</v>
      </c>
      <c r="L691" s="40">
        <v>44410</v>
      </c>
      <c r="M691" s="43">
        <v>-1.8429E-3</v>
      </c>
      <c r="N691" s="1">
        <v>-4.0683482506101987E-3</v>
      </c>
    </row>
    <row r="692" spans="2:14">
      <c r="B692" s="40">
        <v>44411</v>
      </c>
      <c r="C692" s="47">
        <v>4423.1499999999996</v>
      </c>
      <c r="D692" s="81">
        <f t="shared" si="20"/>
        <v>8.2034847144849543E-3</v>
      </c>
      <c r="E692" s="40">
        <v>44411</v>
      </c>
      <c r="F692" s="24">
        <v>24.43</v>
      </c>
      <c r="G692" s="81">
        <f t="shared" si="21"/>
        <v>-2.0424836601307117E-3</v>
      </c>
      <c r="L692" s="40">
        <v>44411</v>
      </c>
      <c r="M692" s="43">
        <v>8.2035000000000007E-3</v>
      </c>
      <c r="N692" s="1">
        <v>-2.0424836601307117E-3</v>
      </c>
    </row>
    <row r="693" spans="2:14">
      <c r="B693" s="40">
        <v>44412</v>
      </c>
      <c r="C693" s="47">
        <v>4402.66</v>
      </c>
      <c r="D693" s="81">
        <f t="shared" si="20"/>
        <v>-4.6324452030791496E-3</v>
      </c>
      <c r="E693" s="40">
        <v>44412</v>
      </c>
      <c r="F693" s="24">
        <v>23.66</v>
      </c>
      <c r="G693" s="81">
        <f t="shared" si="21"/>
        <v>-3.1518624641833748E-2</v>
      </c>
      <c r="L693" s="40">
        <v>44412</v>
      </c>
      <c r="M693" s="43">
        <v>-4.6324000000000001E-3</v>
      </c>
      <c r="N693" s="1">
        <v>-3.1518624641833748E-2</v>
      </c>
    </row>
    <row r="694" spans="2:14">
      <c r="B694" s="40">
        <v>44413</v>
      </c>
      <c r="C694" s="47">
        <v>4429.1000000000004</v>
      </c>
      <c r="D694" s="81">
        <f t="shared" si="20"/>
        <v>6.0054603353427716E-3</v>
      </c>
      <c r="E694" s="40">
        <v>44413</v>
      </c>
      <c r="F694" s="24">
        <v>24.42</v>
      </c>
      <c r="G694" s="81">
        <f t="shared" si="21"/>
        <v>3.2121724429416743E-2</v>
      </c>
      <c r="L694" s="40">
        <v>44413</v>
      </c>
      <c r="M694" s="43">
        <v>6.0055000000000004E-3</v>
      </c>
      <c r="N694" s="1">
        <v>3.2121724429416743E-2</v>
      </c>
    </row>
    <row r="695" spans="2:14">
      <c r="B695" s="40">
        <v>44414</v>
      </c>
      <c r="C695" s="47">
        <v>4436.5200000000004</v>
      </c>
      <c r="D695" s="81">
        <f t="shared" si="20"/>
        <v>1.6752839177258672E-3</v>
      </c>
      <c r="E695" s="40">
        <v>44414</v>
      </c>
      <c r="F695" s="24">
        <v>23.799999</v>
      </c>
      <c r="G695" s="81">
        <f t="shared" si="21"/>
        <v>-2.5389066339066457E-2</v>
      </c>
      <c r="L695" s="40">
        <v>44414</v>
      </c>
      <c r="M695" s="43">
        <v>1.6753E-3</v>
      </c>
      <c r="N695" s="1">
        <v>-2.5389066339066457E-2</v>
      </c>
    </row>
    <row r="696" spans="2:14">
      <c r="B696" s="40">
        <v>44417</v>
      </c>
      <c r="C696" s="47">
        <v>4432.3500000000004</v>
      </c>
      <c r="D696" s="81">
        <f t="shared" si="20"/>
        <v>-9.3992588785807296E-4</v>
      </c>
      <c r="E696" s="40">
        <v>44417</v>
      </c>
      <c r="F696" s="24">
        <v>24.26</v>
      </c>
      <c r="G696" s="81">
        <f t="shared" si="21"/>
        <v>1.9327773921335112E-2</v>
      </c>
      <c r="L696" s="40">
        <v>44417</v>
      </c>
      <c r="M696" s="43">
        <v>-9.3990000000000002E-4</v>
      </c>
      <c r="N696" s="1">
        <v>1.9327773921335112E-2</v>
      </c>
    </row>
    <row r="697" spans="2:14">
      <c r="B697" s="40">
        <v>44418</v>
      </c>
      <c r="C697" s="47">
        <v>4436.75</v>
      </c>
      <c r="D697" s="81">
        <f t="shared" si="20"/>
        <v>9.9270138865370505E-4</v>
      </c>
      <c r="E697" s="40">
        <v>44418</v>
      </c>
      <c r="F697" s="24">
        <v>24.67</v>
      </c>
      <c r="G697" s="81">
        <f t="shared" si="21"/>
        <v>1.6900247320692507E-2</v>
      </c>
      <c r="L697" s="40">
        <v>44418</v>
      </c>
      <c r="M697" s="43">
        <v>9.9270000000000001E-4</v>
      </c>
      <c r="N697" s="1">
        <v>1.6900247320692507E-2</v>
      </c>
    </row>
    <row r="698" spans="2:14">
      <c r="B698" s="40">
        <v>44419</v>
      </c>
      <c r="C698" s="47">
        <v>4447.7</v>
      </c>
      <c r="D698" s="81">
        <f t="shared" si="20"/>
        <v>2.4680227644109376E-3</v>
      </c>
      <c r="E698" s="40">
        <v>44419</v>
      </c>
      <c r="F698" s="24">
        <v>24.709999</v>
      </c>
      <c r="G698" s="81">
        <f t="shared" si="21"/>
        <v>1.6213619781109134E-3</v>
      </c>
      <c r="L698" s="40">
        <v>44419</v>
      </c>
      <c r="M698" s="43">
        <v>2.4680000000000001E-3</v>
      </c>
      <c r="N698" s="1">
        <v>1.6213619781109134E-3</v>
      </c>
    </row>
    <row r="699" spans="2:14">
      <c r="B699" s="40">
        <v>44420</v>
      </c>
      <c r="C699" s="47">
        <v>4460.83</v>
      </c>
      <c r="D699" s="81">
        <f t="shared" si="20"/>
        <v>2.9520875958359838E-3</v>
      </c>
      <c r="E699" s="40">
        <v>44420</v>
      </c>
      <c r="F699" s="24">
        <v>24.6</v>
      </c>
      <c r="G699" s="81">
        <f t="shared" si="21"/>
        <v>-4.4515987232536247E-3</v>
      </c>
      <c r="L699" s="40">
        <v>44420</v>
      </c>
      <c r="M699" s="43">
        <v>2.9521E-3</v>
      </c>
      <c r="N699" s="1">
        <v>-4.4515987232536247E-3</v>
      </c>
    </row>
    <row r="700" spans="2:14">
      <c r="B700" s="40">
        <v>44421</v>
      </c>
      <c r="C700" s="47">
        <v>4468</v>
      </c>
      <c r="D700" s="81">
        <f t="shared" si="20"/>
        <v>1.6073241975147479E-3</v>
      </c>
      <c r="E700" s="40">
        <v>44421</v>
      </c>
      <c r="F700" s="24">
        <v>24.26</v>
      </c>
      <c r="G700" s="81">
        <f t="shared" si="21"/>
        <v>-1.3821138211382089E-2</v>
      </c>
      <c r="L700" s="40">
        <v>44421</v>
      </c>
      <c r="M700" s="43">
        <v>1.6073000000000001E-3</v>
      </c>
      <c r="N700" s="1">
        <v>-1.3821138211382089E-2</v>
      </c>
    </row>
    <row r="701" spans="2:14">
      <c r="B701" s="40">
        <v>44424</v>
      </c>
      <c r="C701" s="47">
        <v>4479.71</v>
      </c>
      <c r="D701" s="81">
        <f t="shared" si="20"/>
        <v>2.6208594449417255E-3</v>
      </c>
      <c r="E701" s="40">
        <v>44424</v>
      </c>
      <c r="F701" s="24">
        <v>24.23</v>
      </c>
      <c r="G701" s="81">
        <f t="shared" si="21"/>
        <v>-1.2366034624897715E-3</v>
      </c>
      <c r="L701" s="40">
        <v>44424</v>
      </c>
      <c r="M701" s="43">
        <v>2.6208999999999998E-3</v>
      </c>
      <c r="N701" s="1">
        <v>-1.2366034624897715E-3</v>
      </c>
    </row>
    <row r="702" spans="2:14">
      <c r="B702" s="40">
        <v>44425</v>
      </c>
      <c r="C702" s="47">
        <v>4448.08</v>
      </c>
      <c r="D702" s="81">
        <f t="shared" si="20"/>
        <v>-7.0607249129965854E-3</v>
      </c>
      <c r="E702" s="40">
        <v>44425</v>
      </c>
      <c r="F702" s="24">
        <v>24.84</v>
      </c>
      <c r="G702" s="81">
        <f t="shared" si="21"/>
        <v>2.5175402393726731E-2</v>
      </c>
      <c r="L702" s="40">
        <v>44425</v>
      </c>
      <c r="M702" s="43">
        <v>-7.0606999999999996E-3</v>
      </c>
      <c r="N702" s="1">
        <v>2.5175402393726731E-2</v>
      </c>
    </row>
    <row r="703" spans="2:14">
      <c r="B703" s="40">
        <v>44426</v>
      </c>
      <c r="C703" s="47">
        <v>4400.2700000000004</v>
      </c>
      <c r="D703" s="81">
        <f t="shared" si="20"/>
        <v>-1.0748457761550978E-2</v>
      </c>
      <c r="E703" s="40">
        <v>44426</v>
      </c>
      <c r="F703" s="24">
        <v>25.02</v>
      </c>
      <c r="G703" s="81">
        <f t="shared" si="21"/>
        <v>7.2463768115942351E-3</v>
      </c>
      <c r="L703" s="40">
        <v>44426</v>
      </c>
      <c r="M703" s="43">
        <v>-1.0748499999999999E-2</v>
      </c>
      <c r="N703" s="1">
        <v>7.2463768115942351E-3</v>
      </c>
    </row>
    <row r="704" spans="2:14">
      <c r="B704" s="40">
        <v>44427</v>
      </c>
      <c r="C704" s="47">
        <v>4405.8</v>
      </c>
      <c r="D704" s="81">
        <f t="shared" si="20"/>
        <v>1.2567410636163956E-3</v>
      </c>
      <c r="E704" s="40">
        <v>44427</v>
      </c>
      <c r="F704" s="24">
        <v>24.57</v>
      </c>
      <c r="G704" s="81">
        <f t="shared" si="21"/>
        <v>-1.7985611510791366E-2</v>
      </c>
      <c r="L704" s="40">
        <v>44427</v>
      </c>
      <c r="M704" s="43">
        <v>1.2566999999999999E-3</v>
      </c>
      <c r="N704" s="1">
        <v>-1.7985611510791366E-2</v>
      </c>
    </row>
    <row r="705" spans="2:14">
      <c r="B705" s="40">
        <v>44428</v>
      </c>
      <c r="C705" s="47">
        <v>4441.67</v>
      </c>
      <c r="D705" s="81">
        <f t="shared" si="20"/>
        <v>8.1415406963547543E-3</v>
      </c>
      <c r="E705" s="40">
        <v>44428</v>
      </c>
      <c r="F705" s="24">
        <v>24.950001</v>
      </c>
      <c r="G705" s="81">
        <f t="shared" si="21"/>
        <v>1.546605616605623E-2</v>
      </c>
      <c r="L705" s="40">
        <v>44428</v>
      </c>
      <c r="M705" s="43">
        <v>8.1414999999999994E-3</v>
      </c>
      <c r="N705" s="1">
        <v>1.546605616605623E-2</v>
      </c>
    </row>
    <row r="706" spans="2:14">
      <c r="B706" s="40">
        <v>44431</v>
      </c>
      <c r="C706" s="47">
        <v>4479.53</v>
      </c>
      <c r="D706" s="81">
        <f t="shared" si="20"/>
        <v>8.5238209952562816E-3</v>
      </c>
      <c r="E706" s="40">
        <v>44431</v>
      </c>
      <c r="F706" s="24">
        <v>24.77</v>
      </c>
      <c r="G706" s="81">
        <f t="shared" si="21"/>
        <v>-7.2144686487187748E-3</v>
      </c>
      <c r="L706" s="40">
        <v>44431</v>
      </c>
      <c r="M706" s="43">
        <v>8.5237999999999998E-3</v>
      </c>
      <c r="N706" s="1">
        <v>-7.2144686487187748E-3</v>
      </c>
    </row>
    <row r="707" spans="2:14">
      <c r="B707" s="40">
        <v>44432</v>
      </c>
      <c r="C707" s="47">
        <v>4486.2299999999996</v>
      </c>
      <c r="D707" s="81">
        <f t="shared" si="20"/>
        <v>1.4956926284677152E-3</v>
      </c>
      <c r="E707" s="40">
        <v>44432</v>
      </c>
      <c r="F707" s="24">
        <v>24.290001</v>
      </c>
      <c r="G707" s="81">
        <f t="shared" si="21"/>
        <v>-1.9378239806217223E-2</v>
      </c>
      <c r="L707" s="40">
        <v>44432</v>
      </c>
      <c r="M707" s="43">
        <v>1.4957E-3</v>
      </c>
      <c r="N707" s="1">
        <v>-1.9378239806217223E-2</v>
      </c>
    </row>
    <row r="708" spans="2:14">
      <c r="B708" s="40">
        <v>44433</v>
      </c>
      <c r="C708" s="47">
        <v>4496.1899999999996</v>
      </c>
      <c r="D708" s="81">
        <f t="shared" si="20"/>
        <v>2.2201269217136943E-3</v>
      </c>
      <c r="E708" s="40">
        <v>44433</v>
      </c>
      <c r="F708" s="24">
        <v>24.370000999999998</v>
      </c>
      <c r="G708" s="81">
        <f t="shared" si="21"/>
        <v>3.2935362991544093E-3</v>
      </c>
      <c r="L708" s="40">
        <v>44433</v>
      </c>
      <c r="M708" s="43">
        <v>2.2201E-3</v>
      </c>
      <c r="N708" s="1">
        <v>3.2935362991544093E-3</v>
      </c>
    </row>
    <row r="709" spans="2:14">
      <c r="B709" s="40">
        <v>44434</v>
      </c>
      <c r="C709" s="47">
        <v>4470</v>
      </c>
      <c r="D709" s="81">
        <f t="shared" si="20"/>
        <v>-5.8249317755698637E-3</v>
      </c>
      <c r="E709" s="40">
        <v>44434</v>
      </c>
      <c r="F709" s="24">
        <v>24.549999</v>
      </c>
      <c r="G709" s="81">
        <f t="shared" si="21"/>
        <v>7.3860481171093006E-3</v>
      </c>
      <c r="L709" s="40">
        <v>44434</v>
      </c>
      <c r="M709" s="43">
        <v>-5.8249E-3</v>
      </c>
      <c r="N709" s="1">
        <v>7.3860481171093006E-3</v>
      </c>
    </row>
    <row r="710" spans="2:14">
      <c r="B710" s="40">
        <v>44435</v>
      </c>
      <c r="C710" s="47">
        <v>4509.37</v>
      </c>
      <c r="D710" s="81">
        <f t="shared" ref="D710:D773" si="22">C710/C709-1</f>
        <v>8.8076062639821373E-3</v>
      </c>
      <c r="E710" s="40">
        <v>44435</v>
      </c>
      <c r="F710" s="24">
        <v>24.709999</v>
      </c>
      <c r="G710" s="81">
        <f t="shared" ref="G710:G773" si="23">F710/F709-1</f>
        <v>6.5173118744321634E-3</v>
      </c>
      <c r="L710" s="40">
        <v>44435</v>
      </c>
      <c r="M710" s="43">
        <v>8.8076000000000005E-3</v>
      </c>
      <c r="N710" s="1">
        <v>6.5173118744321634E-3</v>
      </c>
    </row>
    <row r="711" spans="2:14">
      <c r="B711" s="40">
        <v>44438</v>
      </c>
      <c r="C711" s="47">
        <v>4528.79</v>
      </c>
      <c r="D711" s="81">
        <f t="shared" si="22"/>
        <v>4.30658828173347E-3</v>
      </c>
      <c r="E711" s="40">
        <v>44438</v>
      </c>
      <c r="F711" s="24">
        <v>24.65</v>
      </c>
      <c r="G711" s="81">
        <f t="shared" si="23"/>
        <v>-2.4281263629351013E-3</v>
      </c>
      <c r="L711" s="40">
        <v>44438</v>
      </c>
      <c r="M711" s="43">
        <v>4.3065999999999998E-3</v>
      </c>
      <c r="N711" s="1">
        <v>-2.4281263629351013E-3</v>
      </c>
    </row>
    <row r="712" spans="2:14">
      <c r="B712" s="40">
        <v>44439</v>
      </c>
      <c r="C712" s="47">
        <v>4522.68</v>
      </c>
      <c r="D712" s="81">
        <f t="shared" si="22"/>
        <v>-1.349146239944865E-3</v>
      </c>
      <c r="E712" s="40">
        <v>44439</v>
      </c>
      <c r="F712" s="24">
        <v>24.9</v>
      </c>
      <c r="G712" s="81">
        <f t="shared" si="23"/>
        <v>1.0141987829614507E-2</v>
      </c>
      <c r="L712" s="40">
        <v>44439</v>
      </c>
      <c r="M712" s="43">
        <v>-1.3491E-3</v>
      </c>
      <c r="N712" s="1">
        <v>1.0141987829614507E-2</v>
      </c>
    </row>
    <row r="713" spans="2:14">
      <c r="B713" s="40">
        <v>44440</v>
      </c>
      <c r="C713" s="47">
        <v>4524.09</v>
      </c>
      <c r="D713" s="81">
        <f t="shared" si="22"/>
        <v>3.117620525883158E-4</v>
      </c>
      <c r="E713" s="40">
        <v>44440</v>
      </c>
      <c r="F713" s="24">
        <v>24.27</v>
      </c>
      <c r="G713" s="81">
        <f t="shared" si="23"/>
        <v>-2.5301204819277112E-2</v>
      </c>
      <c r="L713" s="40">
        <v>44440</v>
      </c>
      <c r="M713" s="43">
        <v>3.1179999999999999E-4</v>
      </c>
      <c r="N713" s="1">
        <v>-2.5301204819277112E-2</v>
      </c>
    </row>
    <row r="714" spans="2:14">
      <c r="B714" s="40">
        <v>44441</v>
      </c>
      <c r="C714" s="47">
        <v>4536.95</v>
      </c>
      <c r="D714" s="81">
        <f t="shared" si="22"/>
        <v>2.8425606033477546E-3</v>
      </c>
      <c r="E714" s="40">
        <v>44441</v>
      </c>
      <c r="F714" s="24">
        <v>24.879999000000002</v>
      </c>
      <c r="G714" s="81">
        <f t="shared" si="23"/>
        <v>2.5133868974042128E-2</v>
      </c>
      <c r="L714" s="40">
        <v>44441</v>
      </c>
      <c r="M714" s="43">
        <v>2.8425999999999998E-3</v>
      </c>
      <c r="N714" s="1">
        <v>2.5133868974042128E-2</v>
      </c>
    </row>
    <row r="715" spans="2:14">
      <c r="B715" s="40">
        <v>44442</v>
      </c>
      <c r="C715" s="47">
        <v>4535.43</v>
      </c>
      <c r="D715" s="81">
        <f t="shared" si="22"/>
        <v>-3.3502683520858501E-4</v>
      </c>
      <c r="E715" s="40">
        <v>44442</v>
      </c>
      <c r="F715" s="24">
        <v>24.549999</v>
      </c>
      <c r="G715" s="81">
        <f t="shared" si="23"/>
        <v>-1.3263666127960927E-2</v>
      </c>
      <c r="L715" s="40">
        <v>44442</v>
      </c>
      <c r="M715" s="43">
        <v>-3.3500000000000001E-4</v>
      </c>
      <c r="N715" s="1">
        <v>-1.3263666127960927E-2</v>
      </c>
    </row>
    <row r="716" spans="2:14">
      <c r="B716" s="40">
        <v>44446</v>
      </c>
      <c r="C716" s="47">
        <v>4520.03</v>
      </c>
      <c r="D716" s="81">
        <f t="shared" si="22"/>
        <v>-3.3954884101398131E-3</v>
      </c>
      <c r="E716" s="40">
        <v>44446</v>
      </c>
      <c r="F716" s="24">
        <v>23.799999</v>
      </c>
      <c r="G716" s="81">
        <f t="shared" si="23"/>
        <v>-3.0549899411401182E-2</v>
      </c>
      <c r="L716" s="40">
        <v>44446</v>
      </c>
      <c r="M716" s="43">
        <v>-3.3955000000000001E-3</v>
      </c>
      <c r="N716" s="1">
        <v>-3.0549899411401182E-2</v>
      </c>
    </row>
    <row r="717" spans="2:14">
      <c r="B717" s="40">
        <v>44447</v>
      </c>
      <c r="C717" s="47">
        <v>4514.07</v>
      </c>
      <c r="D717" s="81">
        <f t="shared" si="22"/>
        <v>-1.3185753191903293E-3</v>
      </c>
      <c r="E717" s="40">
        <v>44447</v>
      </c>
      <c r="F717" s="24">
        <v>23.290001</v>
      </c>
      <c r="G717" s="81">
        <f t="shared" si="23"/>
        <v>-2.1428488295314629E-2</v>
      </c>
      <c r="L717" s="40">
        <v>44447</v>
      </c>
      <c r="M717" s="43">
        <v>-1.3186000000000001E-3</v>
      </c>
      <c r="N717" s="1">
        <v>-2.1428488295314629E-2</v>
      </c>
    </row>
    <row r="718" spans="2:14">
      <c r="B718" s="40">
        <v>44448</v>
      </c>
      <c r="C718" s="47">
        <v>4493.28</v>
      </c>
      <c r="D718" s="81">
        <f t="shared" si="22"/>
        <v>-4.6055998245485563E-3</v>
      </c>
      <c r="E718" s="40">
        <v>44448</v>
      </c>
      <c r="F718" s="24">
        <v>23.379999000000002</v>
      </c>
      <c r="G718" s="81">
        <f t="shared" si="23"/>
        <v>3.8642334107241716E-3</v>
      </c>
      <c r="L718" s="40">
        <v>44448</v>
      </c>
      <c r="M718" s="43">
        <v>-4.6055999999999996E-3</v>
      </c>
      <c r="N718" s="1">
        <v>3.8642334107241716E-3</v>
      </c>
    </row>
    <row r="719" spans="2:14">
      <c r="B719" s="40">
        <v>44449</v>
      </c>
      <c r="C719" s="47">
        <v>4458.58</v>
      </c>
      <c r="D719" s="81">
        <f t="shared" si="22"/>
        <v>-7.7226435922087555E-3</v>
      </c>
      <c r="E719" s="40">
        <v>44449</v>
      </c>
      <c r="F719" s="24">
        <v>23.15</v>
      </c>
      <c r="G719" s="81">
        <f t="shared" si="23"/>
        <v>-9.8374255704631874E-3</v>
      </c>
      <c r="L719" s="40">
        <v>44449</v>
      </c>
      <c r="M719" s="43">
        <v>-7.7225999999999996E-3</v>
      </c>
      <c r="N719" s="1">
        <v>-9.8374255704631874E-3</v>
      </c>
    </row>
    <row r="720" spans="2:14">
      <c r="B720" s="40">
        <v>44452</v>
      </c>
      <c r="C720" s="47">
        <v>4468.7299999999996</v>
      </c>
      <c r="D720" s="81">
        <f t="shared" si="22"/>
        <v>2.2765095613401787E-3</v>
      </c>
      <c r="E720" s="40">
        <v>44452</v>
      </c>
      <c r="F720" s="24">
        <v>22.98</v>
      </c>
      <c r="G720" s="81">
        <f t="shared" si="23"/>
        <v>-7.3434125269977724E-3</v>
      </c>
      <c r="L720" s="40">
        <v>44452</v>
      </c>
      <c r="M720" s="43">
        <v>2.2764999999999999E-3</v>
      </c>
      <c r="N720" s="1">
        <v>-7.3434125269977724E-3</v>
      </c>
    </row>
    <row r="721" spans="2:14">
      <c r="B721" s="40">
        <v>44453</v>
      </c>
      <c r="C721" s="47">
        <v>4443.05</v>
      </c>
      <c r="D721" s="81">
        <f t="shared" si="22"/>
        <v>-5.7465991456183696E-3</v>
      </c>
      <c r="E721" s="40">
        <v>44453</v>
      </c>
      <c r="F721" s="24">
        <v>22.620000999999998</v>
      </c>
      <c r="G721" s="81">
        <f t="shared" si="23"/>
        <v>-1.5665752828546653E-2</v>
      </c>
      <c r="L721" s="40">
        <v>44453</v>
      </c>
      <c r="M721" s="43">
        <v>-5.7466000000000001E-3</v>
      </c>
      <c r="N721" s="1">
        <v>-1.5665752828546653E-2</v>
      </c>
    </row>
    <row r="722" spans="2:14">
      <c r="B722" s="40">
        <v>44454</v>
      </c>
      <c r="C722" s="47">
        <v>4480.7</v>
      </c>
      <c r="D722" s="81">
        <f t="shared" si="22"/>
        <v>8.4739086888510062E-3</v>
      </c>
      <c r="E722" s="40">
        <v>44454</v>
      </c>
      <c r="F722" s="24">
        <v>22.59</v>
      </c>
      <c r="G722" s="81">
        <f t="shared" si="23"/>
        <v>-1.326304096980313E-3</v>
      </c>
      <c r="L722" s="40">
        <v>44454</v>
      </c>
      <c r="M722" s="43">
        <v>8.4738999999999995E-3</v>
      </c>
      <c r="N722" s="1">
        <v>-1.326304096980313E-3</v>
      </c>
    </row>
    <row r="723" spans="2:14">
      <c r="B723" s="40">
        <v>44455</v>
      </c>
      <c r="C723" s="47">
        <v>4473.75</v>
      </c>
      <c r="D723" s="81">
        <f t="shared" si="22"/>
        <v>-1.5510969268194286E-3</v>
      </c>
      <c r="E723" s="40">
        <v>44455</v>
      </c>
      <c r="F723" s="24">
        <v>22.809999000000001</v>
      </c>
      <c r="G723" s="81">
        <f t="shared" si="23"/>
        <v>9.7387782204516604E-3</v>
      </c>
      <c r="L723" s="40">
        <v>44455</v>
      </c>
      <c r="M723" s="43">
        <v>-1.5510999999999999E-3</v>
      </c>
      <c r="N723" s="1">
        <v>9.7387782204516604E-3</v>
      </c>
    </row>
    <row r="724" spans="2:14">
      <c r="B724" s="40">
        <v>44456</v>
      </c>
      <c r="C724" s="47">
        <v>4432.99</v>
      </c>
      <c r="D724" s="81">
        <f t="shared" si="22"/>
        <v>-9.1109248393406173E-3</v>
      </c>
      <c r="E724" s="40">
        <v>44456</v>
      </c>
      <c r="F724" s="24">
        <v>22.75</v>
      </c>
      <c r="G724" s="81">
        <f t="shared" si="23"/>
        <v>-2.6303815269785868E-3</v>
      </c>
      <c r="L724" s="40">
        <v>44456</v>
      </c>
      <c r="M724" s="43">
        <v>-9.1108999999999999E-3</v>
      </c>
      <c r="N724" s="1">
        <v>-2.6303815269785868E-3</v>
      </c>
    </row>
    <row r="725" spans="2:14">
      <c r="B725" s="40">
        <v>44459</v>
      </c>
      <c r="C725" s="47">
        <v>4357.7299999999996</v>
      </c>
      <c r="D725" s="81">
        <f t="shared" si="22"/>
        <v>-1.6977254629493954E-2</v>
      </c>
      <c r="E725" s="40">
        <v>44459</v>
      </c>
      <c r="F725" s="24">
        <v>22.41</v>
      </c>
      <c r="G725" s="81">
        <f t="shared" si="23"/>
        <v>-1.4945054945054936E-2</v>
      </c>
      <c r="L725" s="40">
        <v>44459</v>
      </c>
      <c r="M725" s="43">
        <v>-1.6977300000000001E-2</v>
      </c>
      <c r="N725" s="1">
        <v>-1.4945054945054936E-2</v>
      </c>
    </row>
    <row r="726" spans="2:14">
      <c r="B726" s="40">
        <v>44460</v>
      </c>
      <c r="C726" s="47">
        <v>4354.1899999999996</v>
      </c>
      <c r="D726" s="81">
        <f t="shared" si="22"/>
        <v>-8.1234954896236555E-4</v>
      </c>
      <c r="E726" s="40">
        <v>44460</v>
      </c>
      <c r="F726" s="24">
        <v>22.639999</v>
      </c>
      <c r="G726" s="81">
        <f t="shared" si="23"/>
        <v>1.0263230700580106E-2</v>
      </c>
      <c r="L726" s="40">
        <v>44460</v>
      </c>
      <c r="M726" s="43">
        <v>-8.1229999999999996E-4</v>
      </c>
      <c r="N726" s="1">
        <v>1.0263230700580106E-2</v>
      </c>
    </row>
    <row r="727" spans="2:14">
      <c r="B727" s="40">
        <v>44461</v>
      </c>
      <c r="C727" s="47">
        <v>4395.6400000000003</v>
      </c>
      <c r="D727" s="81">
        <f t="shared" si="22"/>
        <v>9.5195662109373025E-3</v>
      </c>
      <c r="E727" s="40">
        <v>44461</v>
      </c>
      <c r="F727" s="24">
        <v>22.440000999999999</v>
      </c>
      <c r="G727" s="81">
        <f t="shared" si="23"/>
        <v>-8.8338343124485519E-3</v>
      </c>
      <c r="L727" s="40">
        <v>44461</v>
      </c>
      <c r="M727" s="43">
        <v>9.5195999999999996E-3</v>
      </c>
      <c r="N727" s="1">
        <v>-8.8338343124485519E-3</v>
      </c>
    </row>
    <row r="728" spans="2:14">
      <c r="B728" s="40">
        <v>44462</v>
      </c>
      <c r="C728" s="47">
        <v>4448.9799999999996</v>
      </c>
      <c r="D728" s="81">
        <f t="shared" si="22"/>
        <v>1.2134751708511082E-2</v>
      </c>
      <c r="E728" s="40">
        <v>44462</v>
      </c>
      <c r="F728" s="24">
        <v>22.77</v>
      </c>
      <c r="G728" s="81">
        <f t="shared" si="23"/>
        <v>1.4705837134320943E-2</v>
      </c>
      <c r="L728" s="40">
        <v>44462</v>
      </c>
      <c r="M728" s="43">
        <v>1.2134799999999999E-2</v>
      </c>
      <c r="N728" s="1">
        <v>1.4705837134320943E-2</v>
      </c>
    </row>
    <row r="729" spans="2:14">
      <c r="B729" s="40">
        <v>44463</v>
      </c>
      <c r="C729" s="47">
        <v>4455.4799999999996</v>
      </c>
      <c r="D729" s="81">
        <f t="shared" si="22"/>
        <v>1.4610090402744635E-3</v>
      </c>
      <c r="E729" s="40">
        <v>44463</v>
      </c>
      <c r="F729" s="24">
        <v>22.43</v>
      </c>
      <c r="G729" s="81">
        <f t="shared" si="23"/>
        <v>-1.4931927975406212E-2</v>
      </c>
      <c r="L729" s="40">
        <v>44463</v>
      </c>
      <c r="M729" s="43">
        <v>1.4610000000000001E-3</v>
      </c>
      <c r="N729" s="1">
        <v>-1.4931927975406212E-2</v>
      </c>
    </row>
    <row r="730" spans="2:14">
      <c r="B730" s="40">
        <v>44466</v>
      </c>
      <c r="C730" s="47">
        <v>4443.1099999999997</v>
      </c>
      <c r="D730" s="81">
        <f t="shared" si="22"/>
        <v>-2.7763563072890074E-3</v>
      </c>
      <c r="E730" s="40">
        <v>44466</v>
      </c>
      <c r="F730" s="24">
        <v>23.040001</v>
      </c>
      <c r="G730" s="81">
        <f t="shared" si="23"/>
        <v>2.7195764600980832E-2</v>
      </c>
      <c r="L730" s="40">
        <v>44466</v>
      </c>
      <c r="M730" s="43">
        <v>-2.7764E-3</v>
      </c>
      <c r="N730" s="1">
        <v>2.7195764600980832E-2</v>
      </c>
    </row>
    <row r="731" spans="2:14">
      <c r="B731" s="40">
        <v>44467</v>
      </c>
      <c r="C731" s="47">
        <v>4352.63</v>
      </c>
      <c r="D731" s="81">
        <f t="shared" si="22"/>
        <v>-2.0364114325326033E-2</v>
      </c>
      <c r="E731" s="40">
        <v>44467</v>
      </c>
      <c r="F731" s="24">
        <v>23</v>
      </c>
      <c r="G731" s="81">
        <f t="shared" si="23"/>
        <v>-1.7361544385349204E-3</v>
      </c>
      <c r="L731" s="40">
        <v>44467</v>
      </c>
      <c r="M731" s="43">
        <v>-2.03641E-2</v>
      </c>
      <c r="N731" s="1">
        <v>-1.7361544385349204E-3</v>
      </c>
    </row>
    <row r="732" spans="2:14">
      <c r="B732" s="40">
        <v>44468</v>
      </c>
      <c r="C732" s="47">
        <v>4359.46</v>
      </c>
      <c r="D732" s="81">
        <f t="shared" si="22"/>
        <v>1.5691662282344421E-3</v>
      </c>
      <c r="E732" s="40">
        <v>44468</v>
      </c>
      <c r="F732" s="24">
        <v>23.57</v>
      </c>
      <c r="G732" s="81">
        <f t="shared" si="23"/>
        <v>2.4782608695652186E-2</v>
      </c>
      <c r="L732" s="40">
        <v>44468</v>
      </c>
      <c r="M732" s="43">
        <v>1.5692E-3</v>
      </c>
      <c r="N732" s="1">
        <v>2.4782608695652186E-2</v>
      </c>
    </row>
    <row r="733" spans="2:14">
      <c r="B733" s="40">
        <v>44469</v>
      </c>
      <c r="C733" s="47">
        <v>4307.54</v>
      </c>
      <c r="D733" s="81">
        <f t="shared" si="22"/>
        <v>-1.1909731939276913E-2</v>
      </c>
      <c r="E733" s="40">
        <v>44469</v>
      </c>
      <c r="F733" s="24">
        <v>23.17</v>
      </c>
      <c r="G733" s="81">
        <f t="shared" si="23"/>
        <v>-1.6970725498514971E-2</v>
      </c>
      <c r="L733" s="40">
        <v>44469</v>
      </c>
      <c r="M733" s="43">
        <v>-1.19097E-2</v>
      </c>
      <c r="N733" s="1">
        <v>-1.6970725498514971E-2</v>
      </c>
    </row>
    <row r="734" spans="2:14">
      <c r="B734" s="40">
        <v>44470</v>
      </c>
      <c r="C734" s="47">
        <v>4357.04</v>
      </c>
      <c r="D734" s="81">
        <f t="shared" si="22"/>
        <v>1.1491477734391298E-2</v>
      </c>
      <c r="E734" s="40">
        <v>44470</v>
      </c>
      <c r="F734" s="24">
        <v>21.99</v>
      </c>
      <c r="G734" s="81">
        <f t="shared" si="23"/>
        <v>-5.0927924039706696E-2</v>
      </c>
      <c r="L734" s="40">
        <v>44470</v>
      </c>
      <c r="M734" s="43">
        <v>1.14915E-2</v>
      </c>
      <c r="N734" s="1">
        <v>-5.0927924039706696E-2</v>
      </c>
    </row>
    <row r="735" spans="2:14">
      <c r="B735" s="40">
        <v>44473</v>
      </c>
      <c r="C735" s="47">
        <v>4300.46</v>
      </c>
      <c r="D735" s="81">
        <f t="shared" si="22"/>
        <v>-1.2985880322420762E-2</v>
      </c>
      <c r="E735" s="40">
        <v>44473</v>
      </c>
      <c r="F735" s="24">
        <v>22.629999000000002</v>
      </c>
      <c r="G735" s="81">
        <f t="shared" si="23"/>
        <v>2.9104092769440815E-2</v>
      </c>
      <c r="L735" s="40">
        <v>44473</v>
      </c>
      <c r="M735" s="43">
        <v>-1.29859E-2</v>
      </c>
      <c r="N735" s="1">
        <v>2.9104092769440815E-2</v>
      </c>
    </row>
    <row r="736" spans="2:14">
      <c r="B736" s="40">
        <v>44474</v>
      </c>
      <c r="C736" s="47">
        <v>4345.72</v>
      </c>
      <c r="D736" s="81">
        <f t="shared" si="22"/>
        <v>1.0524455523362564E-2</v>
      </c>
      <c r="E736" s="40">
        <v>44474</v>
      </c>
      <c r="F736" s="24">
        <v>22.15</v>
      </c>
      <c r="G736" s="81">
        <f t="shared" si="23"/>
        <v>-2.1210738895746428E-2</v>
      </c>
      <c r="L736" s="40">
        <v>44474</v>
      </c>
      <c r="M736" s="43">
        <v>1.0524499999999999E-2</v>
      </c>
      <c r="N736" s="1">
        <v>-2.1210738895746428E-2</v>
      </c>
    </row>
    <row r="737" spans="2:14">
      <c r="B737" s="40">
        <v>44475</v>
      </c>
      <c r="C737" s="47">
        <v>4363.55</v>
      </c>
      <c r="D737" s="81">
        <f t="shared" si="22"/>
        <v>4.1028874386752623E-3</v>
      </c>
      <c r="E737" s="40">
        <v>44475</v>
      </c>
      <c r="F737" s="24">
        <v>22.23</v>
      </c>
      <c r="G737" s="81">
        <f t="shared" si="23"/>
        <v>3.6117381489841893E-3</v>
      </c>
      <c r="L737" s="40">
        <v>44475</v>
      </c>
      <c r="M737" s="43">
        <v>4.1028999999999996E-3</v>
      </c>
      <c r="N737" s="1">
        <v>3.6117381489841893E-3</v>
      </c>
    </row>
    <row r="738" spans="2:14">
      <c r="B738" s="40">
        <v>44476</v>
      </c>
      <c r="C738" s="47">
        <v>4399.76</v>
      </c>
      <c r="D738" s="81">
        <f t="shared" si="22"/>
        <v>8.2982892369745098E-3</v>
      </c>
      <c r="E738" s="40">
        <v>44476</v>
      </c>
      <c r="F738" s="24">
        <v>22.200001</v>
      </c>
      <c r="G738" s="81">
        <f t="shared" si="23"/>
        <v>-1.349482681061609E-3</v>
      </c>
      <c r="L738" s="40">
        <v>44476</v>
      </c>
      <c r="M738" s="43">
        <v>8.2982999999999998E-3</v>
      </c>
      <c r="N738" s="1">
        <v>-1.349482681061609E-3</v>
      </c>
    </row>
    <row r="739" spans="2:14">
      <c r="B739" s="40">
        <v>44477</v>
      </c>
      <c r="C739" s="47">
        <v>4391.34</v>
      </c>
      <c r="D739" s="81">
        <f t="shared" si="22"/>
        <v>-1.9137407494954628E-3</v>
      </c>
      <c r="E739" s="40">
        <v>44477</v>
      </c>
      <c r="F739" s="24">
        <v>22.33</v>
      </c>
      <c r="G739" s="81">
        <f t="shared" si="23"/>
        <v>5.8558105470354338E-3</v>
      </c>
      <c r="L739" s="40">
        <v>44477</v>
      </c>
      <c r="M739" s="43">
        <v>-1.9136999999999999E-3</v>
      </c>
      <c r="N739" s="1">
        <v>5.8558105470354338E-3</v>
      </c>
    </row>
    <row r="740" spans="2:14">
      <c r="B740" s="40">
        <v>44480</v>
      </c>
      <c r="C740" s="47">
        <v>4361.1899999999996</v>
      </c>
      <c r="D740" s="81">
        <f t="shared" si="22"/>
        <v>-6.8657858421348195E-3</v>
      </c>
      <c r="E740" s="40">
        <v>44480</v>
      </c>
      <c r="F740" s="24">
        <v>22.43</v>
      </c>
      <c r="G740" s="81">
        <f t="shared" si="23"/>
        <v>4.478280340349361E-3</v>
      </c>
      <c r="L740" s="40">
        <v>44480</v>
      </c>
      <c r="M740" s="43">
        <v>-6.8658E-3</v>
      </c>
      <c r="N740" s="1">
        <v>4.478280340349361E-3</v>
      </c>
    </row>
    <row r="741" spans="2:14">
      <c r="B741" s="40">
        <v>44481</v>
      </c>
      <c r="C741" s="47">
        <v>4350.6499999999996</v>
      </c>
      <c r="D741" s="81">
        <f t="shared" si="22"/>
        <v>-2.4167715692277048E-3</v>
      </c>
      <c r="E741" s="40">
        <v>44481</v>
      </c>
      <c r="F741" s="24">
        <v>22.639999</v>
      </c>
      <c r="G741" s="81">
        <f t="shared" si="23"/>
        <v>9.3624164065984061E-3</v>
      </c>
      <c r="L741" s="40">
        <v>44481</v>
      </c>
      <c r="M741" s="43">
        <v>-2.4168000000000002E-3</v>
      </c>
      <c r="N741" s="1">
        <v>9.3624164065984061E-3</v>
      </c>
    </row>
    <row r="742" spans="2:14">
      <c r="B742" s="40">
        <v>44482</v>
      </c>
      <c r="C742" s="47">
        <v>4363.8</v>
      </c>
      <c r="D742" s="81">
        <f t="shared" si="22"/>
        <v>3.0225368623080229E-3</v>
      </c>
      <c r="E742" s="40">
        <v>44482</v>
      </c>
      <c r="F742" s="24">
        <v>22.530000999999999</v>
      </c>
      <c r="G742" s="81">
        <f t="shared" si="23"/>
        <v>-4.8585691191947999E-3</v>
      </c>
      <c r="L742" s="40">
        <v>44482</v>
      </c>
      <c r="M742" s="43">
        <v>3.0225E-3</v>
      </c>
      <c r="N742" s="1">
        <v>-4.8585691191947999E-3</v>
      </c>
    </row>
    <row r="743" spans="2:14">
      <c r="B743" s="40">
        <v>44483</v>
      </c>
      <c r="C743" s="47">
        <v>4438.26</v>
      </c>
      <c r="D743" s="81">
        <f t="shared" si="22"/>
        <v>1.706311013337003E-2</v>
      </c>
      <c r="E743" s="40">
        <v>44483</v>
      </c>
      <c r="F743" s="24">
        <v>22.49</v>
      </c>
      <c r="G743" s="81">
        <f t="shared" si="23"/>
        <v>-1.7754548701529593E-3</v>
      </c>
      <c r="L743" s="40">
        <v>44483</v>
      </c>
      <c r="M743" s="43">
        <v>1.7063100000000001E-2</v>
      </c>
      <c r="N743" s="1">
        <v>-1.7754548701529593E-3</v>
      </c>
    </row>
    <row r="744" spans="2:14">
      <c r="B744" s="40">
        <v>44484</v>
      </c>
      <c r="C744" s="47">
        <v>4471.37</v>
      </c>
      <c r="D744" s="81">
        <f t="shared" si="22"/>
        <v>7.4601307719690535E-3</v>
      </c>
      <c r="E744" s="40">
        <v>44484</v>
      </c>
      <c r="F744" s="24">
        <v>22.110001</v>
      </c>
      <c r="G744" s="81">
        <f t="shared" si="23"/>
        <v>-1.6896353935082153E-2</v>
      </c>
      <c r="L744" s="40">
        <v>44484</v>
      </c>
      <c r="M744" s="43">
        <v>7.4600999999999999E-3</v>
      </c>
      <c r="N744" s="1">
        <v>-1.6896353935082153E-2</v>
      </c>
    </row>
    <row r="745" spans="2:14">
      <c r="B745" s="40">
        <v>44487</v>
      </c>
      <c r="C745" s="47">
        <v>4486.46</v>
      </c>
      <c r="D745" s="81">
        <f t="shared" si="22"/>
        <v>3.3748045900920953E-3</v>
      </c>
      <c r="E745" s="40">
        <v>44487</v>
      </c>
      <c r="F745" s="24">
        <v>22.42</v>
      </c>
      <c r="G745" s="81">
        <f t="shared" si="23"/>
        <v>1.4020759203041244E-2</v>
      </c>
      <c r="L745" s="40">
        <v>44487</v>
      </c>
      <c r="M745" s="43">
        <v>3.3747999999999998E-3</v>
      </c>
      <c r="N745" s="1">
        <v>1.4020759203041244E-2</v>
      </c>
    </row>
    <row r="746" spans="2:14">
      <c r="B746" s="40">
        <v>44488</v>
      </c>
      <c r="C746" s="47">
        <v>4519.63</v>
      </c>
      <c r="D746" s="81">
        <f t="shared" si="22"/>
        <v>7.3933569005406596E-3</v>
      </c>
      <c r="E746" s="40">
        <v>44488</v>
      </c>
      <c r="F746" s="24">
        <v>22.24</v>
      </c>
      <c r="G746" s="81">
        <f t="shared" si="23"/>
        <v>-8.0285459411241211E-3</v>
      </c>
      <c r="L746" s="40">
        <v>44488</v>
      </c>
      <c r="M746" s="43">
        <v>7.3933999999999996E-3</v>
      </c>
      <c r="N746" s="1">
        <v>-8.0285459411241211E-3</v>
      </c>
    </row>
    <row r="747" spans="2:14">
      <c r="B747" s="40">
        <v>44489</v>
      </c>
      <c r="C747" s="47">
        <v>4536.1899999999996</v>
      </c>
      <c r="D747" s="81">
        <f t="shared" si="22"/>
        <v>3.6640167447334893E-3</v>
      </c>
      <c r="E747" s="40">
        <v>44489</v>
      </c>
      <c r="F747" s="24">
        <v>22.26</v>
      </c>
      <c r="G747" s="81">
        <f t="shared" si="23"/>
        <v>8.9928057553967378E-4</v>
      </c>
      <c r="L747" s="40">
        <v>44489</v>
      </c>
      <c r="M747" s="43">
        <v>3.6640000000000002E-3</v>
      </c>
      <c r="N747" s="1">
        <v>8.9928057553967378E-4</v>
      </c>
    </row>
    <row r="748" spans="2:14">
      <c r="B748" s="40">
        <v>44490</v>
      </c>
      <c r="C748" s="47">
        <v>4549.78</v>
      </c>
      <c r="D748" s="81">
        <f t="shared" si="22"/>
        <v>2.995906256131331E-3</v>
      </c>
      <c r="E748" s="40">
        <v>44490</v>
      </c>
      <c r="F748" s="24">
        <v>22.129999000000002</v>
      </c>
      <c r="G748" s="81">
        <f t="shared" si="23"/>
        <v>-5.8401168014375893E-3</v>
      </c>
      <c r="L748" s="40">
        <v>44490</v>
      </c>
      <c r="M748" s="43">
        <v>2.9959000000000001E-3</v>
      </c>
      <c r="N748" s="1">
        <v>-5.8401168014375893E-3</v>
      </c>
    </row>
    <row r="749" spans="2:14">
      <c r="B749" s="40">
        <v>44491</v>
      </c>
      <c r="C749" s="47">
        <v>4544.8999999999996</v>
      </c>
      <c r="D749" s="81">
        <f t="shared" si="22"/>
        <v>-1.0725793335062406E-3</v>
      </c>
      <c r="E749" s="40">
        <v>44491</v>
      </c>
      <c r="F749" s="24">
        <v>22.42</v>
      </c>
      <c r="G749" s="81">
        <f t="shared" si="23"/>
        <v>1.3104428969924475E-2</v>
      </c>
      <c r="L749" s="40">
        <v>44491</v>
      </c>
      <c r="M749" s="43">
        <v>-1.0725999999999999E-3</v>
      </c>
      <c r="N749" s="1">
        <v>1.3104428969924475E-2</v>
      </c>
    </row>
    <row r="750" spans="2:14">
      <c r="B750" s="40">
        <v>44494</v>
      </c>
      <c r="C750" s="47">
        <v>4566.4799999999996</v>
      </c>
      <c r="D750" s="81">
        <f t="shared" si="22"/>
        <v>4.7481792778718557E-3</v>
      </c>
      <c r="E750" s="40">
        <v>44494</v>
      </c>
      <c r="F750" s="24">
        <v>22.17</v>
      </c>
      <c r="G750" s="81">
        <f t="shared" si="23"/>
        <v>-1.1150758251561088E-2</v>
      </c>
      <c r="L750" s="40">
        <v>44494</v>
      </c>
      <c r="M750" s="43">
        <v>4.7482000000000002E-3</v>
      </c>
      <c r="N750" s="1">
        <v>-1.1150758251561088E-2</v>
      </c>
    </row>
    <row r="751" spans="2:14">
      <c r="B751" s="40">
        <v>44495</v>
      </c>
      <c r="C751" s="47">
        <v>4574.79</v>
      </c>
      <c r="D751" s="81">
        <f t="shared" si="22"/>
        <v>1.8197824144636776E-3</v>
      </c>
      <c r="E751" s="40">
        <v>44495</v>
      </c>
      <c r="F751" s="24">
        <v>22.01</v>
      </c>
      <c r="G751" s="81">
        <f t="shared" si="23"/>
        <v>-7.2169598556608427E-3</v>
      </c>
      <c r="L751" s="40">
        <v>44495</v>
      </c>
      <c r="M751" s="43">
        <v>1.8198000000000001E-3</v>
      </c>
      <c r="N751" s="1">
        <v>-7.2169598556608427E-3</v>
      </c>
    </row>
    <row r="752" spans="2:14">
      <c r="B752" s="40">
        <v>44496</v>
      </c>
      <c r="C752" s="47">
        <v>4551.68</v>
      </c>
      <c r="D752" s="81">
        <f t="shared" si="22"/>
        <v>-5.0515979968478453E-3</v>
      </c>
      <c r="E752" s="40">
        <v>44496</v>
      </c>
      <c r="F752" s="24">
        <v>21.76</v>
      </c>
      <c r="G752" s="81">
        <f t="shared" si="23"/>
        <v>-1.1358473421172244E-2</v>
      </c>
      <c r="L752" s="40">
        <v>44496</v>
      </c>
      <c r="M752" s="43">
        <v>-5.0515999999999998E-3</v>
      </c>
      <c r="N752" s="1">
        <v>-1.1358473421172244E-2</v>
      </c>
    </row>
    <row r="753" spans="2:14">
      <c r="B753" s="40">
        <v>44497</v>
      </c>
      <c r="C753" s="47">
        <v>4596.42</v>
      </c>
      <c r="D753" s="81">
        <f t="shared" si="22"/>
        <v>9.8293377390326064E-3</v>
      </c>
      <c r="E753" s="40">
        <v>44497</v>
      </c>
      <c r="F753" s="24">
        <v>22.030000999999999</v>
      </c>
      <c r="G753" s="81">
        <f t="shared" si="23"/>
        <v>1.2408134191176368E-2</v>
      </c>
      <c r="L753" s="40">
        <v>44497</v>
      </c>
      <c r="M753" s="43">
        <v>9.8292999999999991E-3</v>
      </c>
      <c r="N753" s="1">
        <v>1.2408134191176368E-2</v>
      </c>
    </row>
    <row r="754" spans="2:14">
      <c r="B754" s="40">
        <v>44498</v>
      </c>
      <c r="C754" s="47">
        <v>4605.38</v>
      </c>
      <c r="D754" s="81">
        <f t="shared" si="22"/>
        <v>1.9493431844783693E-3</v>
      </c>
      <c r="E754" s="40">
        <v>44498</v>
      </c>
      <c r="F754" s="24">
        <v>22.139999</v>
      </c>
      <c r="G754" s="81">
        <f t="shared" si="23"/>
        <v>4.9931000910985457E-3</v>
      </c>
      <c r="L754" s="40">
        <v>44498</v>
      </c>
      <c r="M754" s="43">
        <v>1.9492999999999999E-3</v>
      </c>
      <c r="N754" s="1">
        <v>4.9931000910985457E-3</v>
      </c>
    </row>
    <row r="755" spans="2:14">
      <c r="B755" s="40">
        <v>44501</v>
      </c>
      <c r="C755" s="47">
        <v>4613.67</v>
      </c>
      <c r="D755" s="81">
        <f t="shared" si="22"/>
        <v>1.8000686154020507E-3</v>
      </c>
      <c r="E755" s="40">
        <v>44501</v>
      </c>
      <c r="F755" s="24">
        <v>22.290001</v>
      </c>
      <c r="G755" s="81">
        <f t="shared" si="23"/>
        <v>6.7751583909285706E-3</v>
      </c>
      <c r="L755" s="40">
        <v>44501</v>
      </c>
      <c r="M755" s="43">
        <v>1.8001E-3</v>
      </c>
      <c r="N755" s="1">
        <v>6.7751583909285706E-3</v>
      </c>
    </row>
    <row r="756" spans="2:14">
      <c r="B756" s="40">
        <v>44502</v>
      </c>
      <c r="C756" s="47">
        <v>4630.6499999999996</v>
      </c>
      <c r="D756" s="81">
        <f t="shared" si="22"/>
        <v>3.6803672564356127E-3</v>
      </c>
      <c r="E756" s="40">
        <v>44502</v>
      </c>
      <c r="F756" s="24">
        <v>22.200001</v>
      </c>
      <c r="G756" s="81">
        <f t="shared" si="23"/>
        <v>-4.03768487942191E-3</v>
      </c>
      <c r="L756" s="40">
        <v>44502</v>
      </c>
      <c r="M756" s="43">
        <v>3.6803999999999999E-3</v>
      </c>
      <c r="N756" s="1">
        <v>-4.03768487942191E-3</v>
      </c>
    </row>
    <row r="757" spans="2:14">
      <c r="B757" s="40">
        <v>44503</v>
      </c>
      <c r="C757" s="47">
        <v>4660.57</v>
      </c>
      <c r="D757" s="81">
        <f t="shared" si="22"/>
        <v>6.4612959303769202E-3</v>
      </c>
      <c r="E757" s="40">
        <v>44503</v>
      </c>
      <c r="F757" s="24">
        <v>23.370000999999998</v>
      </c>
      <c r="G757" s="81">
        <f t="shared" si="23"/>
        <v>5.2702700328707053E-2</v>
      </c>
      <c r="L757" s="40">
        <v>44503</v>
      </c>
      <c r="M757" s="43">
        <v>6.4612999999999997E-3</v>
      </c>
      <c r="N757" s="1">
        <v>5.2702700328707053E-2</v>
      </c>
    </row>
    <row r="758" spans="2:14">
      <c r="B758" s="40">
        <v>44504</v>
      </c>
      <c r="C758" s="47">
        <v>4680.0600000000004</v>
      </c>
      <c r="D758" s="81">
        <f t="shared" si="22"/>
        <v>4.1818919145084621E-3</v>
      </c>
      <c r="E758" s="40">
        <v>44504</v>
      </c>
      <c r="F758" s="24">
        <v>23.049999</v>
      </c>
      <c r="G758" s="81">
        <f t="shared" si="23"/>
        <v>-1.3692853500519742E-2</v>
      </c>
      <c r="L758" s="40">
        <v>44504</v>
      </c>
      <c r="M758" s="43">
        <v>4.1818999999999997E-3</v>
      </c>
      <c r="N758" s="1">
        <v>-1.3692853500519742E-2</v>
      </c>
    </row>
    <row r="759" spans="2:14">
      <c r="B759" s="40">
        <v>44505</v>
      </c>
      <c r="C759" s="47">
        <v>4697.53</v>
      </c>
      <c r="D759" s="81">
        <f t="shared" si="22"/>
        <v>3.7328581257503046E-3</v>
      </c>
      <c r="E759" s="40">
        <v>44505</v>
      </c>
      <c r="F759" s="24">
        <v>24.129999000000002</v>
      </c>
      <c r="G759" s="81">
        <f t="shared" si="23"/>
        <v>4.6854665807144036E-2</v>
      </c>
      <c r="L759" s="40">
        <v>44505</v>
      </c>
      <c r="M759" s="43">
        <v>3.7328999999999999E-3</v>
      </c>
      <c r="N759" s="1">
        <v>4.6854665807144036E-2</v>
      </c>
    </row>
    <row r="760" spans="2:14">
      <c r="B760" s="40">
        <v>44508</v>
      </c>
      <c r="C760" s="47">
        <v>4701.7</v>
      </c>
      <c r="D760" s="81">
        <f t="shared" si="22"/>
        <v>8.8770055752696031E-4</v>
      </c>
      <c r="E760" s="40">
        <v>44508</v>
      </c>
      <c r="F760" s="24">
        <v>24.370000999999998</v>
      </c>
      <c r="G760" s="81">
        <f t="shared" si="23"/>
        <v>9.9462084519770233E-3</v>
      </c>
      <c r="L760" s="40">
        <v>44508</v>
      </c>
      <c r="M760" s="43">
        <v>8.8769999999999995E-4</v>
      </c>
      <c r="N760" s="1">
        <v>9.9462084519770233E-3</v>
      </c>
    </row>
    <row r="761" spans="2:14">
      <c r="B761" s="40">
        <v>44509</v>
      </c>
      <c r="C761" s="47">
        <v>4685.25</v>
      </c>
      <c r="D761" s="81">
        <f t="shared" si="22"/>
        <v>-3.4987345002870374E-3</v>
      </c>
      <c r="E761" s="40">
        <v>44509</v>
      </c>
      <c r="F761" s="24">
        <v>24.33</v>
      </c>
      <c r="G761" s="81">
        <f t="shared" si="23"/>
        <v>-1.6414032974393367E-3</v>
      </c>
      <c r="L761" s="40">
        <v>44509</v>
      </c>
      <c r="M761" s="43">
        <v>-3.4987E-3</v>
      </c>
      <c r="N761" s="1">
        <v>-1.6414032974393367E-3</v>
      </c>
    </row>
    <row r="762" spans="2:14">
      <c r="B762" s="40">
        <v>44510</v>
      </c>
      <c r="C762" s="47">
        <v>4646.71</v>
      </c>
      <c r="D762" s="81">
        <f t="shared" si="22"/>
        <v>-8.2258150578944367E-3</v>
      </c>
      <c r="E762" s="40">
        <v>44510</v>
      </c>
      <c r="F762" s="24">
        <v>24.059999000000001</v>
      </c>
      <c r="G762" s="81">
        <f t="shared" si="23"/>
        <v>-1.1097451705712968E-2</v>
      </c>
      <c r="L762" s="40">
        <v>44510</v>
      </c>
      <c r="M762" s="43">
        <v>-8.2258000000000001E-3</v>
      </c>
      <c r="N762" s="1">
        <v>-1.1097451705712968E-2</v>
      </c>
    </row>
    <row r="763" spans="2:14">
      <c r="B763" s="40">
        <v>44511</v>
      </c>
      <c r="C763" s="47">
        <v>4649.2700000000004</v>
      </c>
      <c r="D763" s="81">
        <f t="shared" si="22"/>
        <v>5.5092743037565839E-4</v>
      </c>
      <c r="E763" s="40">
        <v>44511</v>
      </c>
      <c r="F763" s="24">
        <v>24.110001</v>
      </c>
      <c r="G763" s="81">
        <f t="shared" si="23"/>
        <v>2.0782212002585787E-3</v>
      </c>
      <c r="L763" s="40">
        <v>44511</v>
      </c>
      <c r="M763" s="43">
        <v>5.509E-4</v>
      </c>
      <c r="N763" s="1">
        <v>2.0782212002585787E-3</v>
      </c>
    </row>
    <row r="764" spans="2:14">
      <c r="B764" s="40">
        <v>44512</v>
      </c>
      <c r="C764" s="47">
        <v>4682.8500000000004</v>
      </c>
      <c r="D764" s="81">
        <f t="shared" si="22"/>
        <v>7.2226392530441164E-3</v>
      </c>
      <c r="E764" s="40">
        <v>44512</v>
      </c>
      <c r="F764" s="24">
        <v>24.120000999999998</v>
      </c>
      <c r="G764" s="81">
        <f t="shared" si="23"/>
        <v>4.1476564020048734E-4</v>
      </c>
      <c r="L764" s="40">
        <v>44512</v>
      </c>
      <c r="M764" s="43">
        <v>7.2226E-3</v>
      </c>
      <c r="N764" s="1">
        <v>4.1476564020048734E-4</v>
      </c>
    </row>
    <row r="765" spans="2:14">
      <c r="B765" s="40">
        <v>44515</v>
      </c>
      <c r="C765" s="47">
        <v>4682.8</v>
      </c>
      <c r="D765" s="81">
        <f t="shared" si="22"/>
        <v>-1.0677258507119092E-5</v>
      </c>
      <c r="E765" s="40">
        <v>44515</v>
      </c>
      <c r="F765" s="24">
        <v>24.610001</v>
      </c>
      <c r="G765" s="81">
        <f t="shared" si="23"/>
        <v>2.0315090368362876E-2</v>
      </c>
      <c r="L765" s="40">
        <v>44515</v>
      </c>
      <c r="M765" s="43">
        <v>-1.0679999999999999E-5</v>
      </c>
      <c r="N765" s="1">
        <v>2.0315090368362876E-2</v>
      </c>
    </row>
    <row r="766" spans="2:14">
      <c r="B766" s="40">
        <v>44516</v>
      </c>
      <c r="C766" s="47">
        <v>4700.8999999999996</v>
      </c>
      <c r="D766" s="81">
        <f t="shared" si="22"/>
        <v>3.8652088494062209E-3</v>
      </c>
      <c r="E766" s="40">
        <v>44516</v>
      </c>
      <c r="F766" s="24">
        <v>24.959999</v>
      </c>
      <c r="G766" s="81">
        <f t="shared" si="23"/>
        <v>1.4221779186437189E-2</v>
      </c>
      <c r="L766" s="40">
        <v>44516</v>
      </c>
      <c r="M766" s="43">
        <v>3.8652000000000001E-3</v>
      </c>
      <c r="N766" s="1">
        <v>1.4221779186437189E-2</v>
      </c>
    </row>
    <row r="767" spans="2:14">
      <c r="B767" s="40">
        <v>44517</v>
      </c>
      <c r="C767" s="47">
        <v>4688.67</v>
      </c>
      <c r="D767" s="81">
        <f t="shared" si="22"/>
        <v>-2.6016294752068125E-3</v>
      </c>
      <c r="E767" s="40">
        <v>44517</v>
      </c>
      <c r="F767" s="24">
        <v>25.049999</v>
      </c>
      <c r="G767" s="81">
        <f t="shared" si="23"/>
        <v>3.6057693752311604E-3</v>
      </c>
      <c r="L767" s="40">
        <v>44517</v>
      </c>
      <c r="M767" s="43">
        <v>-2.6015999999999999E-3</v>
      </c>
      <c r="N767" s="1">
        <v>3.6057693752311604E-3</v>
      </c>
    </row>
    <row r="768" spans="2:14">
      <c r="B768" s="40">
        <v>44518</v>
      </c>
      <c r="C768" s="47">
        <v>4704.54</v>
      </c>
      <c r="D768" s="81">
        <f t="shared" si="22"/>
        <v>3.3847551651107199E-3</v>
      </c>
      <c r="E768" s="40">
        <v>44518</v>
      </c>
      <c r="F768" s="24">
        <v>25.25</v>
      </c>
      <c r="G768" s="81">
        <f t="shared" si="23"/>
        <v>7.9840721750128463E-3</v>
      </c>
      <c r="L768" s="40">
        <v>44518</v>
      </c>
      <c r="M768" s="43">
        <v>3.3847999999999999E-3</v>
      </c>
      <c r="N768" s="1">
        <v>7.9840721750128463E-3</v>
      </c>
    </row>
    <row r="769" spans="2:14">
      <c r="B769" s="40">
        <v>44519</v>
      </c>
      <c r="C769" s="47">
        <v>4697.96</v>
      </c>
      <c r="D769" s="81">
        <f t="shared" si="22"/>
        <v>-1.3986489646171663E-3</v>
      </c>
      <c r="E769" s="40">
        <v>44519</v>
      </c>
      <c r="F769" s="24">
        <v>25.82</v>
      </c>
      <c r="G769" s="81">
        <f t="shared" si="23"/>
        <v>2.2574257425742594E-2</v>
      </c>
      <c r="L769" s="40">
        <v>44519</v>
      </c>
      <c r="M769" s="43">
        <v>-1.3986000000000001E-3</v>
      </c>
      <c r="N769" s="1">
        <v>2.2574257425742594E-2</v>
      </c>
    </row>
    <row r="770" spans="2:14">
      <c r="B770" s="40">
        <v>44522</v>
      </c>
      <c r="C770" s="47">
        <v>4682.9399999999996</v>
      </c>
      <c r="D770" s="81">
        <f t="shared" si="22"/>
        <v>-3.1971323723489764E-3</v>
      </c>
      <c r="E770" s="40">
        <v>44522</v>
      </c>
      <c r="F770" s="24">
        <v>27.35</v>
      </c>
      <c r="G770" s="81">
        <f t="shared" si="23"/>
        <v>5.9256390395042713E-2</v>
      </c>
      <c r="L770" s="40">
        <v>44522</v>
      </c>
      <c r="M770" s="43">
        <v>-3.1971E-3</v>
      </c>
      <c r="N770" s="1">
        <v>5.9256390395042713E-2</v>
      </c>
    </row>
    <row r="771" spans="2:14">
      <c r="B771" s="40">
        <v>44523</v>
      </c>
      <c r="C771" s="47">
        <v>4690.7</v>
      </c>
      <c r="D771" s="81">
        <f t="shared" si="22"/>
        <v>1.6570786727996278E-3</v>
      </c>
      <c r="E771" s="40">
        <v>44523</v>
      </c>
      <c r="F771" s="24">
        <v>27.07</v>
      </c>
      <c r="G771" s="81">
        <f t="shared" si="23"/>
        <v>-1.0237659963436951E-2</v>
      </c>
      <c r="L771" s="40">
        <v>44523</v>
      </c>
      <c r="M771" s="43">
        <v>1.6570999999999999E-3</v>
      </c>
      <c r="N771" s="1">
        <v>-1.0237659963436951E-2</v>
      </c>
    </row>
    <row r="772" spans="2:14">
      <c r="B772" s="40">
        <v>44524</v>
      </c>
      <c r="C772" s="47">
        <v>4701.46</v>
      </c>
      <c r="D772" s="81">
        <f t="shared" si="22"/>
        <v>2.2939006971240961E-3</v>
      </c>
      <c r="E772" s="40">
        <v>44524</v>
      </c>
      <c r="F772" s="24">
        <v>26.790001</v>
      </c>
      <c r="G772" s="81">
        <f t="shared" si="23"/>
        <v>-1.0343516808274833E-2</v>
      </c>
      <c r="L772" s="40">
        <v>44524</v>
      </c>
      <c r="M772" s="43">
        <v>2.2939000000000002E-3</v>
      </c>
      <c r="N772" s="1">
        <v>-1.0343516808274833E-2</v>
      </c>
    </row>
    <row r="773" spans="2:14">
      <c r="B773" s="40">
        <v>44526</v>
      </c>
      <c r="C773" s="47">
        <v>4594.62</v>
      </c>
      <c r="D773" s="81">
        <f t="shared" si="22"/>
        <v>-2.2724855683128209E-2</v>
      </c>
      <c r="E773" s="40">
        <v>44526</v>
      </c>
      <c r="F773" s="24">
        <v>26.889999</v>
      </c>
      <c r="G773" s="81">
        <f t="shared" si="23"/>
        <v>3.7326613015056243E-3</v>
      </c>
      <c r="L773" s="40">
        <v>44526</v>
      </c>
      <c r="M773" s="43">
        <v>-2.2724899999999999E-2</v>
      </c>
      <c r="N773" s="1">
        <v>3.7326613015056243E-3</v>
      </c>
    </row>
    <row r="774" spans="2:14">
      <c r="B774" s="40">
        <v>44529</v>
      </c>
      <c r="C774" s="47">
        <v>4655.2700000000004</v>
      </c>
      <c r="D774" s="81">
        <f t="shared" ref="D774:D837" si="24">C774/C773-1</f>
        <v>1.3200221128189193E-2</v>
      </c>
      <c r="E774" s="40">
        <v>44529</v>
      </c>
      <c r="F774" s="24">
        <v>27.09</v>
      </c>
      <c r="G774" s="81">
        <f t="shared" ref="G774:G837" si="25">F774/F773-1</f>
        <v>7.4377466507158374E-3</v>
      </c>
      <c r="L774" s="40">
        <v>44529</v>
      </c>
      <c r="M774" s="43">
        <v>1.32002E-2</v>
      </c>
      <c r="N774" s="1">
        <v>7.4377466507158374E-3</v>
      </c>
    </row>
    <row r="775" spans="2:14">
      <c r="B775" s="40">
        <v>44530</v>
      </c>
      <c r="C775" s="47">
        <v>4567</v>
      </c>
      <c r="D775" s="81">
        <f t="shared" si="24"/>
        <v>-1.8961306218543861E-2</v>
      </c>
      <c r="E775" s="40">
        <v>44530</v>
      </c>
      <c r="F775" s="24">
        <v>26.459999</v>
      </c>
      <c r="G775" s="81">
        <f t="shared" si="25"/>
        <v>-2.3255850867478722E-2</v>
      </c>
      <c r="L775" s="40">
        <v>44530</v>
      </c>
      <c r="M775" s="43">
        <v>-1.89613E-2</v>
      </c>
      <c r="N775" s="1">
        <v>-2.3255850867478722E-2</v>
      </c>
    </row>
    <row r="776" spans="2:14">
      <c r="B776" s="40">
        <v>44531</v>
      </c>
      <c r="C776" s="47">
        <v>4513.04</v>
      </c>
      <c r="D776" s="81">
        <f t="shared" si="24"/>
        <v>-1.1815195971097037E-2</v>
      </c>
      <c r="E776" s="40">
        <v>44531</v>
      </c>
      <c r="F776" s="24">
        <v>26.309999000000001</v>
      </c>
      <c r="G776" s="81">
        <f t="shared" si="25"/>
        <v>-5.6689344546082543E-3</v>
      </c>
      <c r="L776" s="40">
        <v>44531</v>
      </c>
      <c r="M776" s="43">
        <v>-1.18152E-2</v>
      </c>
      <c r="N776" s="1">
        <v>-5.6689344546082543E-3</v>
      </c>
    </row>
    <row r="777" spans="2:14">
      <c r="B777" s="40">
        <v>44532</v>
      </c>
      <c r="C777" s="47">
        <v>4577.1000000000004</v>
      </c>
      <c r="D777" s="81">
        <f t="shared" si="24"/>
        <v>1.4194423271231882E-2</v>
      </c>
      <c r="E777" s="40">
        <v>44532</v>
      </c>
      <c r="F777" s="24">
        <v>26.620000999999998</v>
      </c>
      <c r="G777" s="81">
        <f t="shared" si="25"/>
        <v>1.1782668634841009E-2</v>
      </c>
      <c r="L777" s="40">
        <v>44532</v>
      </c>
      <c r="M777" s="43">
        <v>1.4194399999999999E-2</v>
      </c>
      <c r="N777" s="1">
        <v>1.1782668634841009E-2</v>
      </c>
    </row>
    <row r="778" spans="2:14">
      <c r="B778" s="40">
        <v>44533</v>
      </c>
      <c r="C778" s="47">
        <v>4538.43</v>
      </c>
      <c r="D778" s="81">
        <f t="shared" si="24"/>
        <v>-8.4485809792226307E-3</v>
      </c>
      <c r="E778" s="40">
        <v>44533</v>
      </c>
      <c r="F778" s="24">
        <v>26.42</v>
      </c>
      <c r="G778" s="81">
        <f t="shared" si="25"/>
        <v>-7.5131852925173215E-3</v>
      </c>
      <c r="L778" s="40">
        <v>44533</v>
      </c>
      <c r="M778" s="43">
        <v>-8.4486000000000006E-3</v>
      </c>
      <c r="N778" s="1">
        <v>-7.5131852925173215E-3</v>
      </c>
    </row>
    <row r="779" spans="2:14">
      <c r="B779" s="40">
        <v>44536</v>
      </c>
      <c r="C779" s="47">
        <v>4591.67</v>
      </c>
      <c r="D779" s="81">
        <f t="shared" si="24"/>
        <v>1.1730928977641941E-2</v>
      </c>
      <c r="E779" s="40">
        <v>44536</v>
      </c>
      <c r="F779" s="24">
        <v>26.93</v>
      </c>
      <c r="G779" s="81">
        <f t="shared" si="25"/>
        <v>1.930355791067373E-2</v>
      </c>
      <c r="L779" s="40">
        <v>44536</v>
      </c>
      <c r="M779" s="43">
        <v>1.1730900000000001E-2</v>
      </c>
      <c r="N779" s="1">
        <v>1.930355791067373E-2</v>
      </c>
    </row>
    <row r="780" spans="2:14">
      <c r="B780" s="40">
        <v>44537</v>
      </c>
      <c r="C780" s="47">
        <v>4686.75</v>
      </c>
      <c r="D780" s="81">
        <f t="shared" si="24"/>
        <v>2.0707063007576743E-2</v>
      </c>
      <c r="E780" s="40">
        <v>44537</v>
      </c>
      <c r="F780" s="24">
        <v>26.549999</v>
      </c>
      <c r="G780" s="81">
        <f t="shared" si="25"/>
        <v>-1.4110694392870382E-2</v>
      </c>
      <c r="L780" s="40">
        <v>44537</v>
      </c>
      <c r="M780" s="43">
        <v>2.0707099999999999E-2</v>
      </c>
      <c r="N780" s="1">
        <v>-1.4110694392870382E-2</v>
      </c>
    </row>
    <row r="781" spans="2:14">
      <c r="B781" s="40">
        <v>44538</v>
      </c>
      <c r="C781" s="47">
        <v>4701.21</v>
      </c>
      <c r="D781" s="81">
        <f t="shared" si="24"/>
        <v>3.0852936469836223E-3</v>
      </c>
      <c r="E781" s="40">
        <v>44538</v>
      </c>
      <c r="F781" s="24">
        <v>26.01</v>
      </c>
      <c r="G781" s="81">
        <f t="shared" si="25"/>
        <v>-2.0338946152125947E-2</v>
      </c>
      <c r="L781" s="40">
        <v>44538</v>
      </c>
      <c r="M781" s="43">
        <v>3.0853E-3</v>
      </c>
      <c r="N781" s="1">
        <v>-2.0338946152125947E-2</v>
      </c>
    </row>
    <row r="782" spans="2:14">
      <c r="B782" s="40">
        <v>44539</v>
      </c>
      <c r="C782" s="47">
        <v>4667.45</v>
      </c>
      <c r="D782" s="81">
        <f t="shared" si="24"/>
        <v>-7.1811299644134463E-3</v>
      </c>
      <c r="E782" s="40">
        <v>44539</v>
      </c>
      <c r="F782" s="24">
        <v>26.34</v>
      </c>
      <c r="G782" s="81">
        <f t="shared" si="25"/>
        <v>1.2687427912341231E-2</v>
      </c>
      <c r="L782" s="40">
        <v>44539</v>
      </c>
      <c r="M782" s="43">
        <v>-7.1811000000000002E-3</v>
      </c>
      <c r="N782" s="1">
        <v>1.2687427912341231E-2</v>
      </c>
    </row>
    <row r="783" spans="2:14">
      <c r="B783" s="40">
        <v>44540</v>
      </c>
      <c r="C783" s="47">
        <v>4712.0200000000004</v>
      </c>
      <c r="D783" s="81">
        <f t="shared" si="24"/>
        <v>9.54911139915815E-3</v>
      </c>
      <c r="E783" s="40">
        <v>44540</v>
      </c>
      <c r="F783" s="24">
        <v>26.790001</v>
      </c>
      <c r="G783" s="81">
        <f t="shared" si="25"/>
        <v>1.708432042520891E-2</v>
      </c>
      <c r="L783" s="40">
        <v>44540</v>
      </c>
      <c r="M783" s="43">
        <v>9.5490999999999996E-3</v>
      </c>
      <c r="N783" s="1">
        <v>1.708432042520891E-2</v>
      </c>
    </row>
    <row r="784" spans="2:14">
      <c r="B784" s="40">
        <v>44543</v>
      </c>
      <c r="C784" s="47">
        <v>4668.97</v>
      </c>
      <c r="D784" s="81">
        <f t="shared" si="24"/>
        <v>-9.1362090992822553E-3</v>
      </c>
      <c r="E784" s="40">
        <v>44543</v>
      </c>
      <c r="F784" s="24">
        <v>27.43</v>
      </c>
      <c r="G784" s="81">
        <f t="shared" si="25"/>
        <v>2.3889472792479438E-2</v>
      </c>
      <c r="L784" s="40">
        <v>44543</v>
      </c>
      <c r="M784" s="43">
        <v>-9.1362000000000006E-3</v>
      </c>
      <c r="N784" s="1">
        <v>2.3889472792479438E-2</v>
      </c>
    </row>
    <row r="785" spans="2:14">
      <c r="B785" s="40">
        <v>44544</v>
      </c>
      <c r="C785" s="47">
        <v>4634.09</v>
      </c>
      <c r="D785" s="81">
        <f t="shared" si="24"/>
        <v>-7.4705984403412584E-3</v>
      </c>
      <c r="E785" s="40">
        <v>44544</v>
      </c>
      <c r="F785" s="24">
        <v>27.620000999999998</v>
      </c>
      <c r="G785" s="81">
        <f t="shared" si="25"/>
        <v>6.9267590229675768E-3</v>
      </c>
      <c r="L785" s="40">
        <v>44544</v>
      </c>
      <c r="M785" s="43">
        <v>-7.4706E-3</v>
      </c>
      <c r="N785" s="1">
        <v>6.9267590229675768E-3</v>
      </c>
    </row>
    <row r="786" spans="2:14">
      <c r="B786" s="40">
        <v>44545</v>
      </c>
      <c r="C786" s="47">
        <v>4709.8500000000004</v>
      </c>
      <c r="D786" s="81">
        <f t="shared" si="24"/>
        <v>1.6348409288555077E-2</v>
      </c>
      <c r="E786" s="40">
        <v>44545</v>
      </c>
      <c r="F786" s="24">
        <v>28.049999</v>
      </c>
      <c r="G786" s="81">
        <f t="shared" si="25"/>
        <v>1.556835569991466E-2</v>
      </c>
      <c r="L786" s="40">
        <v>44545</v>
      </c>
      <c r="M786" s="43">
        <v>1.6348399999999999E-2</v>
      </c>
      <c r="N786" s="1">
        <v>1.556835569991466E-2</v>
      </c>
    </row>
    <row r="787" spans="2:14">
      <c r="B787" s="40">
        <v>44546</v>
      </c>
      <c r="C787" s="47">
        <v>4668.67</v>
      </c>
      <c r="D787" s="81">
        <f t="shared" si="24"/>
        <v>-8.7433782392221104E-3</v>
      </c>
      <c r="E787" s="40">
        <v>44546</v>
      </c>
      <c r="F787" s="24">
        <v>28.280000999999999</v>
      </c>
      <c r="G787" s="81">
        <f t="shared" si="25"/>
        <v>8.1997150873338587E-3</v>
      </c>
      <c r="L787" s="40">
        <v>44546</v>
      </c>
      <c r="M787" s="43">
        <v>-8.7434000000000001E-3</v>
      </c>
      <c r="N787" s="1">
        <v>8.1997150873338587E-3</v>
      </c>
    </row>
    <row r="788" spans="2:14">
      <c r="B788" s="40">
        <v>44547</v>
      </c>
      <c r="C788" s="47">
        <v>4620.6400000000003</v>
      </c>
      <c r="D788" s="81">
        <f t="shared" si="24"/>
        <v>-1.0287726483131143E-2</v>
      </c>
      <c r="E788" s="40">
        <v>44547</v>
      </c>
      <c r="F788" s="24">
        <v>28.309999000000001</v>
      </c>
      <c r="G788" s="81">
        <f t="shared" si="25"/>
        <v>1.0607496088845814E-3</v>
      </c>
      <c r="L788" s="40">
        <v>44547</v>
      </c>
      <c r="M788" s="43">
        <v>-1.02877E-2</v>
      </c>
      <c r="N788" s="1">
        <v>1.0607496088845814E-3</v>
      </c>
    </row>
    <row r="789" spans="2:14">
      <c r="B789" s="40">
        <v>44550</v>
      </c>
      <c r="C789" s="47">
        <v>4568.0200000000004</v>
      </c>
      <c r="D789" s="81">
        <f t="shared" si="24"/>
        <v>-1.1388032826621375E-2</v>
      </c>
      <c r="E789" s="40">
        <v>44550</v>
      </c>
      <c r="F789" s="24">
        <v>28.52</v>
      </c>
      <c r="G789" s="81">
        <f t="shared" si="25"/>
        <v>7.4179091281494358E-3</v>
      </c>
      <c r="L789" s="40">
        <v>44550</v>
      </c>
      <c r="M789" s="43">
        <v>-1.1388000000000001E-2</v>
      </c>
      <c r="N789" s="1">
        <v>7.4179091281494358E-3</v>
      </c>
    </row>
    <row r="790" spans="2:14">
      <c r="B790" s="40">
        <v>44551</v>
      </c>
      <c r="C790" s="47">
        <v>4649.2299999999996</v>
      </c>
      <c r="D790" s="81">
        <f t="shared" si="24"/>
        <v>1.7777943178882483E-2</v>
      </c>
      <c r="E790" s="40">
        <v>44551</v>
      </c>
      <c r="F790" s="24">
        <v>27.75</v>
      </c>
      <c r="G790" s="81">
        <f t="shared" si="25"/>
        <v>-2.6998597475455854E-2</v>
      </c>
      <c r="L790" s="40">
        <v>44551</v>
      </c>
      <c r="M790" s="43">
        <v>1.7777899999999999E-2</v>
      </c>
      <c r="N790" s="1">
        <v>-2.6998597475455854E-2</v>
      </c>
    </row>
    <row r="791" spans="2:14">
      <c r="B791" s="40">
        <v>44552</v>
      </c>
      <c r="C791" s="47">
        <v>4696.5600000000004</v>
      </c>
      <c r="D791" s="81">
        <f t="shared" si="24"/>
        <v>1.0180180373954517E-2</v>
      </c>
      <c r="E791" s="40">
        <v>44552</v>
      </c>
      <c r="F791" s="24">
        <v>27.799999</v>
      </c>
      <c r="G791" s="81">
        <f t="shared" si="25"/>
        <v>1.8017657657658503E-3</v>
      </c>
      <c r="L791" s="40">
        <v>44552</v>
      </c>
      <c r="M791" s="43">
        <v>1.01802E-2</v>
      </c>
      <c r="N791" s="1">
        <v>1.8017657657658503E-3</v>
      </c>
    </row>
    <row r="792" spans="2:14">
      <c r="B792" s="40">
        <v>44553</v>
      </c>
      <c r="C792" s="47">
        <v>4725.79</v>
      </c>
      <c r="D792" s="81">
        <f t="shared" si="24"/>
        <v>6.2237041579367158E-3</v>
      </c>
      <c r="E792" s="40">
        <v>44553</v>
      </c>
      <c r="F792" s="24">
        <v>27.98</v>
      </c>
      <c r="G792" s="81">
        <f t="shared" si="25"/>
        <v>6.4748563480163668E-3</v>
      </c>
      <c r="L792" s="40">
        <v>44553</v>
      </c>
      <c r="M792" s="43">
        <v>6.2237000000000004E-3</v>
      </c>
      <c r="N792" s="1">
        <v>6.4748563480163668E-3</v>
      </c>
    </row>
    <row r="793" spans="2:14">
      <c r="B793" s="40">
        <v>44557</v>
      </c>
      <c r="C793" s="47">
        <v>4791.1899999999996</v>
      </c>
      <c r="D793" s="81">
        <f t="shared" si="24"/>
        <v>1.383895602639984E-2</v>
      </c>
      <c r="E793" s="40">
        <v>44557</v>
      </c>
      <c r="F793" s="24">
        <v>28.5</v>
      </c>
      <c r="G793" s="81">
        <f t="shared" si="25"/>
        <v>1.8584703359542543E-2</v>
      </c>
      <c r="L793" s="40">
        <v>44557</v>
      </c>
      <c r="M793" s="43">
        <v>1.3839000000000001E-2</v>
      </c>
      <c r="N793" s="1">
        <v>1.8584703359542543E-2</v>
      </c>
    </row>
    <row r="794" spans="2:14">
      <c r="B794" s="40">
        <v>44558</v>
      </c>
      <c r="C794" s="47">
        <v>4786.3500000000004</v>
      </c>
      <c r="D794" s="81">
        <f t="shared" si="24"/>
        <v>-1.0101874482121298E-3</v>
      </c>
      <c r="E794" s="40">
        <v>44558</v>
      </c>
      <c r="F794" s="24">
        <v>29.49</v>
      </c>
      <c r="G794" s="81">
        <f t="shared" si="25"/>
        <v>3.4736842105263177E-2</v>
      </c>
      <c r="L794" s="40">
        <v>44558</v>
      </c>
      <c r="M794" s="43">
        <v>-1.0101999999999999E-3</v>
      </c>
      <c r="N794" s="1">
        <v>3.4736842105263177E-2</v>
      </c>
    </row>
    <row r="795" spans="2:14">
      <c r="B795" s="40">
        <v>44559</v>
      </c>
      <c r="C795" s="47">
        <v>4793.0600000000004</v>
      </c>
      <c r="D795" s="81">
        <f t="shared" si="24"/>
        <v>1.4019033292591576E-3</v>
      </c>
      <c r="E795" s="40">
        <v>44559</v>
      </c>
      <c r="F795" s="24">
        <v>30.049999</v>
      </c>
      <c r="G795" s="81">
        <f t="shared" si="25"/>
        <v>1.8989454052221078E-2</v>
      </c>
      <c r="L795" s="40">
        <v>44559</v>
      </c>
      <c r="M795" s="43">
        <v>1.4019E-3</v>
      </c>
      <c r="N795" s="1">
        <v>1.8989454052221078E-2</v>
      </c>
    </row>
    <row r="796" spans="2:14">
      <c r="B796" s="40">
        <v>44560</v>
      </c>
      <c r="C796" s="47">
        <v>4778.7299999999996</v>
      </c>
      <c r="D796" s="81">
        <f t="shared" si="24"/>
        <v>-2.9897393314501919E-3</v>
      </c>
      <c r="E796" s="40">
        <v>44560</v>
      </c>
      <c r="F796" s="24">
        <v>29.879999000000002</v>
      </c>
      <c r="G796" s="81">
        <f t="shared" si="25"/>
        <v>-5.6572381250328263E-3</v>
      </c>
      <c r="L796" s="40">
        <v>44560</v>
      </c>
      <c r="M796" s="43">
        <v>-2.9897000000000001E-3</v>
      </c>
      <c r="N796" s="1">
        <v>-5.6572381250328263E-3</v>
      </c>
    </row>
    <row r="797" spans="2:14">
      <c r="B797" s="40">
        <v>44561</v>
      </c>
      <c r="C797" s="47">
        <v>4766.18</v>
      </c>
      <c r="D797" s="81">
        <f t="shared" si="24"/>
        <v>-2.6262207741385435E-3</v>
      </c>
      <c r="E797" s="40">
        <v>44561</v>
      </c>
      <c r="F797" s="24">
        <v>29.68</v>
      </c>
      <c r="G797" s="81">
        <f t="shared" si="25"/>
        <v>-6.6934071851877386E-3</v>
      </c>
      <c r="L797" s="40">
        <v>44561</v>
      </c>
      <c r="M797" s="43">
        <v>-2.6262E-3</v>
      </c>
      <c r="N797" s="1">
        <v>-6.6934071851877386E-3</v>
      </c>
    </row>
    <row r="798" spans="2:14">
      <c r="B798" s="40">
        <v>44564</v>
      </c>
      <c r="C798" s="47">
        <v>4796.5600000000004</v>
      </c>
      <c r="D798" s="81">
        <f t="shared" si="24"/>
        <v>6.3740773533522699E-3</v>
      </c>
      <c r="E798" s="40">
        <v>44564</v>
      </c>
      <c r="F798" s="24">
        <v>29.77</v>
      </c>
      <c r="G798" s="81">
        <f t="shared" si="25"/>
        <v>3.0323450134770447E-3</v>
      </c>
      <c r="L798" s="40">
        <v>44564</v>
      </c>
      <c r="M798" s="43">
        <v>6.3740999999999997E-3</v>
      </c>
      <c r="N798" s="1">
        <v>3.0323450134770447E-3</v>
      </c>
    </row>
    <row r="799" spans="2:14">
      <c r="B799" s="40">
        <v>44565</v>
      </c>
      <c r="C799" s="47">
        <v>4793.54</v>
      </c>
      <c r="D799" s="81">
        <f t="shared" si="24"/>
        <v>-6.29617892823231E-4</v>
      </c>
      <c r="E799" s="40">
        <v>44565</v>
      </c>
      <c r="F799" s="24">
        <v>29.940000999999999</v>
      </c>
      <c r="G799" s="81">
        <f t="shared" si="25"/>
        <v>5.7104803493448486E-3</v>
      </c>
      <c r="L799" s="40">
        <v>44565</v>
      </c>
      <c r="M799" s="43">
        <v>-6.2960000000000002E-4</v>
      </c>
      <c r="N799" s="1">
        <v>5.7104803493448486E-3</v>
      </c>
    </row>
    <row r="800" spans="2:14">
      <c r="B800" s="40">
        <v>44566</v>
      </c>
      <c r="C800" s="47">
        <v>4700.58</v>
      </c>
      <c r="D800" s="81">
        <f t="shared" si="24"/>
        <v>-1.939276609770646E-2</v>
      </c>
      <c r="E800" s="40">
        <v>44566</v>
      </c>
      <c r="F800" s="24">
        <v>29.08</v>
      </c>
      <c r="G800" s="81">
        <f t="shared" si="25"/>
        <v>-2.8724147337202854E-2</v>
      </c>
      <c r="L800" s="40">
        <v>44566</v>
      </c>
      <c r="M800" s="43">
        <v>-1.9392800000000002E-2</v>
      </c>
      <c r="N800" s="1">
        <v>-2.8724147337202854E-2</v>
      </c>
    </row>
    <row r="801" spans="2:14">
      <c r="B801" s="40">
        <v>44567</v>
      </c>
      <c r="C801" s="47">
        <v>4696.05</v>
      </c>
      <c r="D801" s="81">
        <f t="shared" si="24"/>
        <v>-9.6371086121282978E-4</v>
      </c>
      <c r="E801" s="40">
        <v>44567</v>
      </c>
      <c r="F801" s="24">
        <v>29.35</v>
      </c>
      <c r="G801" s="81">
        <f t="shared" si="25"/>
        <v>9.2847317744155777E-3</v>
      </c>
      <c r="L801" s="40">
        <v>44567</v>
      </c>
      <c r="M801" s="43">
        <v>-9.6369999999999995E-4</v>
      </c>
      <c r="N801" s="1">
        <v>9.2847317744155777E-3</v>
      </c>
    </row>
    <row r="802" spans="2:14">
      <c r="B802" s="40">
        <v>44568</v>
      </c>
      <c r="C802" s="47">
        <v>4677.03</v>
      </c>
      <c r="D802" s="81">
        <f t="shared" si="24"/>
        <v>-4.0502124125595396E-3</v>
      </c>
      <c r="E802" s="40">
        <v>44568</v>
      </c>
      <c r="F802" s="24">
        <v>30.209999</v>
      </c>
      <c r="G802" s="81">
        <f t="shared" si="25"/>
        <v>2.930149914821123E-2</v>
      </c>
      <c r="L802" s="40">
        <v>44568</v>
      </c>
      <c r="M802" s="43">
        <v>-4.0502000000000003E-3</v>
      </c>
      <c r="N802" s="1">
        <v>2.930149914821123E-2</v>
      </c>
    </row>
    <row r="803" spans="2:14">
      <c r="B803" s="40">
        <v>44571</v>
      </c>
      <c r="C803" s="47">
        <v>4670.29</v>
      </c>
      <c r="D803" s="81">
        <f t="shared" si="24"/>
        <v>-1.4410854751839564E-3</v>
      </c>
      <c r="E803" s="40">
        <v>44571</v>
      </c>
      <c r="F803" s="24">
        <v>30.83</v>
      </c>
      <c r="G803" s="81">
        <f t="shared" si="25"/>
        <v>2.0523039408243626E-2</v>
      </c>
      <c r="L803" s="40">
        <v>44571</v>
      </c>
      <c r="M803" s="43">
        <v>-1.4411000000000001E-3</v>
      </c>
      <c r="N803" s="1">
        <v>2.0523039408243626E-2</v>
      </c>
    </row>
    <row r="804" spans="2:14">
      <c r="B804" s="40">
        <v>44572</v>
      </c>
      <c r="C804" s="47">
        <v>4713.07</v>
      </c>
      <c r="D804" s="81">
        <f t="shared" si="24"/>
        <v>9.1600307475552256E-3</v>
      </c>
      <c r="E804" s="40">
        <v>44572</v>
      </c>
      <c r="F804" s="24">
        <v>28.74</v>
      </c>
      <c r="G804" s="81">
        <f t="shared" si="25"/>
        <v>-6.7791112552708421E-2</v>
      </c>
      <c r="L804" s="40">
        <v>44572</v>
      </c>
      <c r="M804" s="43">
        <v>9.1599999999999997E-3</v>
      </c>
      <c r="N804" s="1">
        <v>-6.7791112552708421E-2</v>
      </c>
    </row>
    <row r="805" spans="2:14">
      <c r="B805" s="40">
        <v>44573</v>
      </c>
      <c r="C805" s="47">
        <v>4726.3500000000004</v>
      </c>
      <c r="D805" s="81">
        <f t="shared" si="24"/>
        <v>2.8176963210817529E-3</v>
      </c>
      <c r="E805" s="40">
        <v>44573</v>
      </c>
      <c r="F805" s="24">
        <v>28.84</v>
      </c>
      <c r="G805" s="81">
        <f t="shared" si="25"/>
        <v>3.479471120389821E-3</v>
      </c>
      <c r="L805" s="40">
        <v>44573</v>
      </c>
      <c r="M805" s="43">
        <v>2.8176999999999998E-3</v>
      </c>
      <c r="N805" s="1">
        <v>3.479471120389821E-3</v>
      </c>
    </row>
    <row r="806" spans="2:14">
      <c r="B806" s="40">
        <v>44574</v>
      </c>
      <c r="C806" s="47">
        <v>4659.03</v>
      </c>
      <c r="D806" s="81">
        <f t="shared" si="24"/>
        <v>-1.4243549462058636E-2</v>
      </c>
      <c r="E806" s="40">
        <v>44574</v>
      </c>
      <c r="F806" s="24">
        <v>29.450001</v>
      </c>
      <c r="G806" s="81">
        <f t="shared" si="25"/>
        <v>2.1151213592232931E-2</v>
      </c>
      <c r="L806" s="40">
        <v>44574</v>
      </c>
      <c r="M806" s="43">
        <v>-1.4243499999999999E-2</v>
      </c>
      <c r="N806" s="1">
        <v>2.1151213592232931E-2</v>
      </c>
    </row>
    <row r="807" spans="2:14">
      <c r="B807" s="40">
        <v>44575</v>
      </c>
      <c r="C807" s="47">
        <v>4662.8500000000004</v>
      </c>
      <c r="D807" s="81">
        <f t="shared" si="24"/>
        <v>8.1991315788920716E-4</v>
      </c>
      <c r="E807" s="40">
        <v>44575</v>
      </c>
      <c r="F807" s="24">
        <v>29.24</v>
      </c>
      <c r="G807" s="81">
        <f t="shared" si="25"/>
        <v>-7.1307637646600419E-3</v>
      </c>
      <c r="L807" s="40">
        <v>44575</v>
      </c>
      <c r="M807" s="43">
        <v>8.1990000000000003E-4</v>
      </c>
      <c r="N807" s="1">
        <v>-7.1307637646600419E-3</v>
      </c>
    </row>
    <row r="808" spans="2:14">
      <c r="B808" s="40">
        <v>44579</v>
      </c>
      <c r="C808" s="47">
        <v>4577.1099999999997</v>
      </c>
      <c r="D808" s="81">
        <f t="shared" si="24"/>
        <v>-1.8387895814791499E-2</v>
      </c>
      <c r="E808" s="40">
        <v>44579</v>
      </c>
      <c r="F808" s="24">
        <v>29.639999</v>
      </c>
      <c r="G808" s="81">
        <f t="shared" si="25"/>
        <v>1.3679856361149101E-2</v>
      </c>
      <c r="L808" s="40">
        <v>44579</v>
      </c>
      <c r="M808" s="43">
        <v>-1.8387899999999999E-2</v>
      </c>
      <c r="N808" s="1">
        <v>1.3679856361149101E-2</v>
      </c>
    </row>
    <row r="809" spans="2:14">
      <c r="B809" s="40">
        <v>44580</v>
      </c>
      <c r="C809" s="47">
        <v>4532.76</v>
      </c>
      <c r="D809" s="81">
        <f t="shared" si="24"/>
        <v>-9.6895202431227512E-3</v>
      </c>
      <c r="E809" s="40">
        <v>44580</v>
      </c>
      <c r="F809" s="24">
        <v>29.17</v>
      </c>
      <c r="G809" s="81">
        <f t="shared" si="25"/>
        <v>-1.5856916864268378E-2</v>
      </c>
      <c r="L809" s="40">
        <v>44580</v>
      </c>
      <c r="M809" s="43">
        <v>-9.6895000000000002E-3</v>
      </c>
      <c r="N809" s="1">
        <v>-1.5856916864268378E-2</v>
      </c>
    </row>
    <row r="810" spans="2:14">
      <c r="B810" s="40">
        <v>44581</v>
      </c>
      <c r="C810" s="47">
        <v>4482.7299999999996</v>
      </c>
      <c r="D810" s="81">
        <f t="shared" si="24"/>
        <v>-1.103742532143781E-2</v>
      </c>
      <c r="E810" s="40">
        <v>44581</v>
      </c>
      <c r="F810" s="24">
        <v>28.370000999999998</v>
      </c>
      <c r="G810" s="81">
        <f t="shared" si="25"/>
        <v>-2.7425402811107391E-2</v>
      </c>
      <c r="L810" s="40">
        <v>44581</v>
      </c>
      <c r="M810" s="43">
        <v>-1.1037399999999999E-2</v>
      </c>
      <c r="N810" s="1">
        <v>-2.7425402811107391E-2</v>
      </c>
    </row>
    <row r="811" spans="2:14">
      <c r="B811" s="40">
        <v>44582</v>
      </c>
      <c r="C811" s="47">
        <v>4397.9399999999996</v>
      </c>
      <c r="D811" s="81">
        <f t="shared" si="24"/>
        <v>-1.8914813071498782E-2</v>
      </c>
      <c r="E811" s="40">
        <v>44582</v>
      </c>
      <c r="F811" s="24">
        <v>28.57</v>
      </c>
      <c r="G811" s="81">
        <f t="shared" si="25"/>
        <v>7.0496648907414361E-3</v>
      </c>
      <c r="L811" s="40">
        <v>44582</v>
      </c>
      <c r="M811" s="43">
        <v>-1.8914799999999999E-2</v>
      </c>
      <c r="N811" s="1">
        <v>7.0496648907414361E-3</v>
      </c>
    </row>
    <row r="812" spans="2:14">
      <c r="B812" s="40">
        <v>44585</v>
      </c>
      <c r="C812" s="47">
        <v>4410.13</v>
      </c>
      <c r="D812" s="81">
        <f t="shared" si="24"/>
        <v>2.7717522294530283E-3</v>
      </c>
      <c r="E812" s="40">
        <v>44585</v>
      </c>
      <c r="F812" s="24">
        <v>29.27</v>
      </c>
      <c r="G812" s="81">
        <f t="shared" si="25"/>
        <v>2.4501225061253074E-2</v>
      </c>
      <c r="L812" s="40">
        <v>44585</v>
      </c>
      <c r="M812" s="43">
        <v>2.7718E-3</v>
      </c>
      <c r="N812" s="1">
        <v>2.4501225061253074E-2</v>
      </c>
    </row>
    <row r="813" spans="2:14">
      <c r="B813" s="40">
        <v>44586</v>
      </c>
      <c r="C813" s="47">
        <v>4356.45</v>
      </c>
      <c r="D813" s="81">
        <f t="shared" si="24"/>
        <v>-1.2171976789799865E-2</v>
      </c>
      <c r="E813" s="40">
        <v>44586</v>
      </c>
      <c r="F813" s="24">
        <v>27.82</v>
      </c>
      <c r="G813" s="81">
        <f t="shared" si="25"/>
        <v>-4.9538776904680559E-2</v>
      </c>
      <c r="L813" s="40">
        <v>44586</v>
      </c>
      <c r="M813" s="43">
        <v>-1.2172000000000001E-2</v>
      </c>
      <c r="N813" s="1">
        <v>-4.9538776904680559E-2</v>
      </c>
    </row>
    <row r="814" spans="2:14">
      <c r="B814" s="40">
        <v>44587</v>
      </c>
      <c r="C814" s="47">
        <v>4349.93</v>
      </c>
      <c r="D814" s="81">
        <f t="shared" si="24"/>
        <v>-1.4966314315554285E-3</v>
      </c>
      <c r="E814" s="40">
        <v>44587</v>
      </c>
      <c r="F814" s="24">
        <v>27.67</v>
      </c>
      <c r="G814" s="81">
        <f t="shared" si="25"/>
        <v>-5.3918044572249801E-3</v>
      </c>
      <c r="L814" s="40">
        <v>44587</v>
      </c>
      <c r="M814" s="43">
        <v>-1.4966000000000001E-3</v>
      </c>
      <c r="N814" s="1">
        <v>-5.3918044572249801E-3</v>
      </c>
    </row>
    <row r="815" spans="2:14">
      <c r="B815" s="40">
        <v>44588</v>
      </c>
      <c r="C815" s="47">
        <v>4326.51</v>
      </c>
      <c r="D815" s="81">
        <f t="shared" si="24"/>
        <v>-5.3839946849719711E-3</v>
      </c>
      <c r="E815" s="40">
        <v>44588</v>
      </c>
      <c r="F815" s="24">
        <v>28.27</v>
      </c>
      <c r="G815" s="81">
        <f t="shared" si="25"/>
        <v>2.1684134441633418E-2</v>
      </c>
      <c r="L815" s="40">
        <v>44588</v>
      </c>
      <c r="M815" s="43">
        <v>-5.3839999999999999E-3</v>
      </c>
      <c r="N815" s="1">
        <v>2.1684134441633418E-2</v>
      </c>
    </row>
    <row r="816" spans="2:14">
      <c r="B816" s="40">
        <v>44589</v>
      </c>
      <c r="C816" s="47">
        <v>4431.8500000000004</v>
      </c>
      <c r="D816" s="81">
        <f t="shared" si="24"/>
        <v>2.4347568825681787E-2</v>
      </c>
      <c r="E816" s="40">
        <v>44589</v>
      </c>
      <c r="F816" s="24">
        <v>26.889999</v>
      </c>
      <c r="G816" s="81">
        <f t="shared" si="25"/>
        <v>-4.8815033604527769E-2</v>
      </c>
      <c r="L816" s="40">
        <v>44589</v>
      </c>
      <c r="M816" s="43">
        <v>2.43476E-2</v>
      </c>
      <c r="N816" s="1">
        <v>-4.8815033604527769E-2</v>
      </c>
    </row>
    <row r="817" spans="2:14">
      <c r="B817" s="40">
        <v>44592</v>
      </c>
      <c r="C817" s="47">
        <v>4515.55</v>
      </c>
      <c r="D817" s="81">
        <f t="shared" si="24"/>
        <v>1.8886018254227865E-2</v>
      </c>
      <c r="E817" s="40">
        <v>44592</v>
      </c>
      <c r="F817" s="24">
        <v>27.139999</v>
      </c>
      <c r="G817" s="81">
        <f t="shared" si="25"/>
        <v>9.2971368277106059E-3</v>
      </c>
      <c r="L817" s="40">
        <v>44592</v>
      </c>
      <c r="M817" s="43">
        <v>1.8886E-2</v>
      </c>
      <c r="N817" s="1">
        <v>9.2971368277106059E-3</v>
      </c>
    </row>
    <row r="818" spans="2:14">
      <c r="B818" s="40">
        <v>44593</v>
      </c>
      <c r="C818" s="47">
        <v>4546.54</v>
      </c>
      <c r="D818" s="81">
        <f t="shared" si="24"/>
        <v>6.8629513569775646E-3</v>
      </c>
      <c r="E818" s="40">
        <v>44593</v>
      </c>
      <c r="F818" s="24">
        <v>27.120000999999998</v>
      </c>
      <c r="G818" s="81">
        <f t="shared" si="25"/>
        <v>-7.3684601093759738E-4</v>
      </c>
      <c r="L818" s="40">
        <v>44593</v>
      </c>
      <c r="M818" s="43">
        <v>6.8630000000000002E-3</v>
      </c>
      <c r="N818" s="1">
        <v>-7.3684601093759738E-4</v>
      </c>
    </row>
    <row r="819" spans="2:14">
      <c r="B819" s="40">
        <v>44594</v>
      </c>
      <c r="C819" s="47">
        <v>4589.38</v>
      </c>
      <c r="D819" s="81">
        <f t="shared" si="24"/>
        <v>9.4225498950850639E-3</v>
      </c>
      <c r="E819" s="40">
        <v>44594</v>
      </c>
      <c r="F819" s="24">
        <v>28.09</v>
      </c>
      <c r="G819" s="81">
        <f t="shared" si="25"/>
        <v>3.5766923459921829E-2</v>
      </c>
      <c r="L819" s="40">
        <v>44594</v>
      </c>
      <c r="M819" s="43">
        <v>9.4225000000000003E-3</v>
      </c>
      <c r="N819" s="1">
        <v>3.5766923459921829E-2</v>
      </c>
    </row>
    <row r="820" spans="2:14">
      <c r="B820" s="40">
        <v>44595</v>
      </c>
      <c r="C820" s="47">
        <v>4477.4399999999996</v>
      </c>
      <c r="D820" s="81">
        <f t="shared" si="24"/>
        <v>-2.4391094221877574E-2</v>
      </c>
      <c r="E820" s="40">
        <v>44595</v>
      </c>
      <c r="F820" s="24">
        <v>28.43</v>
      </c>
      <c r="G820" s="81">
        <f t="shared" si="25"/>
        <v>1.210395158419364E-2</v>
      </c>
      <c r="L820" s="40">
        <v>44595</v>
      </c>
      <c r="M820" s="43">
        <v>-2.4391099999999999E-2</v>
      </c>
      <c r="N820" s="1">
        <v>1.210395158419364E-2</v>
      </c>
    </row>
    <row r="821" spans="2:14">
      <c r="B821" s="40">
        <v>44596</v>
      </c>
      <c r="C821" s="47">
        <v>4500.53</v>
      </c>
      <c r="D821" s="81">
        <f t="shared" si="24"/>
        <v>5.156964694110977E-3</v>
      </c>
      <c r="E821" s="40">
        <v>44596</v>
      </c>
      <c r="F821" s="24">
        <v>28.809999000000001</v>
      </c>
      <c r="G821" s="81">
        <f t="shared" si="25"/>
        <v>1.3366127330284971E-2</v>
      </c>
      <c r="L821" s="40">
        <v>44596</v>
      </c>
      <c r="M821" s="43">
        <v>5.1570000000000001E-3</v>
      </c>
      <c r="N821" s="1">
        <v>1.3366127330284971E-2</v>
      </c>
    </row>
    <row r="822" spans="2:14">
      <c r="B822" s="40">
        <v>44599</v>
      </c>
      <c r="C822" s="47">
        <v>4483.87</v>
      </c>
      <c r="D822" s="81">
        <f t="shared" si="24"/>
        <v>-3.701786234065696E-3</v>
      </c>
      <c r="E822" s="40">
        <v>44599</v>
      </c>
      <c r="F822" s="24">
        <v>28.74</v>
      </c>
      <c r="G822" s="81">
        <f t="shared" si="25"/>
        <v>-2.429677279752851E-3</v>
      </c>
      <c r="L822" s="40">
        <v>44599</v>
      </c>
      <c r="M822" s="43">
        <v>-3.7017999999999999E-3</v>
      </c>
      <c r="N822" s="1">
        <v>-2.429677279752851E-3</v>
      </c>
    </row>
    <row r="823" spans="2:14">
      <c r="B823" s="40">
        <v>44600</v>
      </c>
      <c r="C823" s="47">
        <v>4521.54</v>
      </c>
      <c r="D823" s="81">
        <f t="shared" si="24"/>
        <v>8.4012248347966612E-3</v>
      </c>
      <c r="E823" s="40">
        <v>44600</v>
      </c>
      <c r="F823" s="24">
        <v>29.42</v>
      </c>
      <c r="G823" s="81">
        <f t="shared" si="25"/>
        <v>2.3660403618650072E-2</v>
      </c>
      <c r="L823" s="40">
        <v>44600</v>
      </c>
      <c r="M823" s="43">
        <v>8.4011999999999993E-3</v>
      </c>
      <c r="N823" s="1">
        <v>2.3660403618650072E-2</v>
      </c>
    </row>
    <row r="824" spans="2:14">
      <c r="B824" s="40">
        <v>44601</v>
      </c>
      <c r="C824" s="47">
        <v>4587.18</v>
      </c>
      <c r="D824" s="81">
        <f t="shared" si="24"/>
        <v>1.4517177775713597E-2</v>
      </c>
      <c r="E824" s="40">
        <v>44601</v>
      </c>
      <c r="F824" s="24">
        <v>29.059999000000001</v>
      </c>
      <c r="G824" s="81">
        <f t="shared" si="25"/>
        <v>-1.2236607749830042E-2</v>
      </c>
      <c r="L824" s="40">
        <v>44601</v>
      </c>
      <c r="M824" s="43">
        <v>1.4517199999999999E-2</v>
      </c>
      <c r="N824" s="1">
        <v>-1.2236607749830042E-2</v>
      </c>
    </row>
    <row r="825" spans="2:14">
      <c r="B825" s="40">
        <v>44602</v>
      </c>
      <c r="C825" s="47">
        <v>4504.08</v>
      </c>
      <c r="D825" s="81">
        <f t="shared" si="24"/>
        <v>-1.8115705073705524E-2</v>
      </c>
      <c r="E825" s="40">
        <v>44602</v>
      </c>
      <c r="F825" s="24">
        <v>28.719999000000001</v>
      </c>
      <c r="G825" s="81">
        <f t="shared" si="25"/>
        <v>-1.1699931579488343E-2</v>
      </c>
      <c r="L825" s="40">
        <v>44602</v>
      </c>
      <c r="M825" s="43">
        <v>-1.8115699999999998E-2</v>
      </c>
      <c r="N825" s="1">
        <v>-1.1699931579488343E-2</v>
      </c>
    </row>
    <row r="826" spans="2:14">
      <c r="B826" s="40">
        <v>44603</v>
      </c>
      <c r="C826" s="47">
        <v>4418.6400000000003</v>
      </c>
      <c r="D826" s="81">
        <f t="shared" si="24"/>
        <v>-1.89694676826343E-2</v>
      </c>
      <c r="E826" s="40">
        <v>44603</v>
      </c>
      <c r="F826" s="24">
        <v>29.59</v>
      </c>
      <c r="G826" s="81">
        <f t="shared" si="25"/>
        <v>3.0292514982329877E-2</v>
      </c>
      <c r="L826" s="40">
        <v>44603</v>
      </c>
      <c r="M826" s="43">
        <v>-1.89695E-2</v>
      </c>
      <c r="N826" s="1">
        <v>3.0292514982329877E-2</v>
      </c>
    </row>
    <row r="827" spans="2:14">
      <c r="B827" s="40">
        <v>44606</v>
      </c>
      <c r="C827" s="47">
        <v>4401.67</v>
      </c>
      <c r="D827" s="81">
        <f t="shared" si="24"/>
        <v>-3.8405482229827426E-3</v>
      </c>
      <c r="E827" s="40">
        <v>44606</v>
      </c>
      <c r="F827" s="24">
        <v>29.35</v>
      </c>
      <c r="G827" s="81">
        <f t="shared" si="25"/>
        <v>-8.1108482595471099E-3</v>
      </c>
      <c r="L827" s="40">
        <v>44606</v>
      </c>
      <c r="M827" s="43">
        <v>-3.8405000000000002E-3</v>
      </c>
      <c r="N827" s="1">
        <v>-8.1108482595471099E-3</v>
      </c>
    </row>
    <row r="828" spans="2:14">
      <c r="B828" s="40">
        <v>44607</v>
      </c>
      <c r="C828" s="47">
        <v>4471.07</v>
      </c>
      <c r="D828" s="81">
        <f t="shared" si="24"/>
        <v>1.5766743077059386E-2</v>
      </c>
      <c r="E828" s="40">
        <v>44607</v>
      </c>
      <c r="F828" s="24">
        <v>29.77</v>
      </c>
      <c r="G828" s="81">
        <f t="shared" si="25"/>
        <v>1.4310051107325306E-2</v>
      </c>
      <c r="L828" s="40">
        <v>44607</v>
      </c>
      <c r="M828" s="43">
        <v>1.5766700000000002E-2</v>
      </c>
      <c r="N828" s="1">
        <v>1.4310051107325306E-2</v>
      </c>
    </row>
    <row r="829" spans="2:14">
      <c r="B829" s="40">
        <v>44608</v>
      </c>
      <c r="C829" s="47">
        <v>4475.01</v>
      </c>
      <c r="D829" s="81">
        <f t="shared" si="24"/>
        <v>8.8122082633468324E-4</v>
      </c>
      <c r="E829" s="40">
        <v>44608</v>
      </c>
      <c r="F829" s="24">
        <v>29.030000999999999</v>
      </c>
      <c r="G829" s="81">
        <f t="shared" si="25"/>
        <v>-2.4857205240174651E-2</v>
      </c>
      <c r="L829" s="40">
        <v>44608</v>
      </c>
      <c r="M829" s="43">
        <v>8.8119999999999995E-4</v>
      </c>
      <c r="N829" s="1">
        <v>-2.4857205240174651E-2</v>
      </c>
    </row>
    <row r="830" spans="2:14">
      <c r="B830" s="40">
        <v>44609</v>
      </c>
      <c r="C830" s="47">
        <v>4380.26</v>
      </c>
      <c r="D830" s="81">
        <f t="shared" si="24"/>
        <v>-2.1173137043269175E-2</v>
      </c>
      <c r="E830" s="40">
        <v>44609</v>
      </c>
      <c r="F830" s="24">
        <v>28.959999</v>
      </c>
      <c r="G830" s="81">
        <f t="shared" si="25"/>
        <v>-2.4113674677448405E-3</v>
      </c>
      <c r="L830" s="40">
        <v>44609</v>
      </c>
      <c r="M830" s="43">
        <v>-2.11731E-2</v>
      </c>
      <c r="N830" s="1">
        <v>-2.4113674677448405E-3</v>
      </c>
    </row>
    <row r="831" spans="2:14">
      <c r="B831" s="40">
        <v>44610</v>
      </c>
      <c r="C831" s="47">
        <v>4348.87</v>
      </c>
      <c r="D831" s="81">
        <f t="shared" si="24"/>
        <v>-7.1662412733491943E-3</v>
      </c>
      <c r="E831" s="40">
        <v>44610</v>
      </c>
      <c r="F831" s="24">
        <v>29.120000999999998</v>
      </c>
      <c r="G831" s="81">
        <f t="shared" si="25"/>
        <v>5.5249311300045179E-3</v>
      </c>
      <c r="L831" s="40">
        <v>44610</v>
      </c>
      <c r="M831" s="43">
        <v>-7.1662000000000002E-3</v>
      </c>
      <c r="N831" s="1">
        <v>5.5249311300045179E-3</v>
      </c>
    </row>
    <row r="832" spans="2:14">
      <c r="B832" s="40">
        <v>44614</v>
      </c>
      <c r="C832" s="47">
        <v>4304.76</v>
      </c>
      <c r="D832" s="81">
        <f t="shared" si="24"/>
        <v>-1.0142864698185927E-2</v>
      </c>
      <c r="E832" s="40">
        <v>44614</v>
      </c>
      <c r="F832" s="24">
        <v>28.469999000000001</v>
      </c>
      <c r="G832" s="81">
        <f t="shared" si="25"/>
        <v>-2.2321496486212289E-2</v>
      </c>
      <c r="L832" s="40">
        <v>44614</v>
      </c>
      <c r="M832" s="43">
        <v>-1.01429E-2</v>
      </c>
      <c r="N832" s="1">
        <v>-2.2321496486212289E-2</v>
      </c>
    </row>
    <row r="833" spans="2:14">
      <c r="B833" s="40">
        <v>44615</v>
      </c>
      <c r="C833" s="47">
        <v>4225.5</v>
      </c>
      <c r="D833" s="81">
        <f t="shared" si="24"/>
        <v>-1.8412176288573612E-2</v>
      </c>
      <c r="E833" s="40">
        <v>44615</v>
      </c>
      <c r="F833" s="24">
        <v>28.68</v>
      </c>
      <c r="G833" s="81">
        <f t="shared" si="25"/>
        <v>7.3762208421572772E-3</v>
      </c>
      <c r="L833" s="40">
        <v>44615</v>
      </c>
      <c r="M833" s="43">
        <v>-1.84122E-2</v>
      </c>
      <c r="N833" s="1">
        <v>7.3762208421572772E-3</v>
      </c>
    </row>
    <row r="834" spans="2:14">
      <c r="B834" s="40">
        <v>44616</v>
      </c>
      <c r="C834" s="47">
        <v>4288.7</v>
      </c>
      <c r="D834" s="81">
        <f t="shared" si="24"/>
        <v>1.4956809844988816E-2</v>
      </c>
      <c r="E834" s="40">
        <v>44616</v>
      </c>
      <c r="F834" s="24">
        <v>27.799999</v>
      </c>
      <c r="G834" s="81">
        <f t="shared" si="25"/>
        <v>-3.0683437935843827E-2</v>
      </c>
      <c r="L834" s="40">
        <v>44616</v>
      </c>
      <c r="M834" s="43">
        <v>1.4956799999999999E-2</v>
      </c>
      <c r="N834" s="1">
        <v>-3.0683437935843827E-2</v>
      </c>
    </row>
    <row r="835" spans="2:14">
      <c r="B835" s="40">
        <v>44617</v>
      </c>
      <c r="C835" s="47">
        <v>4384.6499999999996</v>
      </c>
      <c r="D835" s="81">
        <f t="shared" si="24"/>
        <v>2.2372746986266234E-2</v>
      </c>
      <c r="E835" s="40">
        <v>44617</v>
      </c>
      <c r="F835" s="24">
        <v>29.190000999999999</v>
      </c>
      <c r="G835" s="81">
        <f t="shared" si="25"/>
        <v>5.0000073741009787E-2</v>
      </c>
      <c r="L835" s="40">
        <v>44617</v>
      </c>
      <c r="M835" s="43">
        <v>2.2372699999999999E-2</v>
      </c>
      <c r="N835" s="1">
        <v>5.0000073741009787E-2</v>
      </c>
    </row>
    <row r="836" spans="2:14">
      <c r="B836" s="40">
        <v>44620</v>
      </c>
      <c r="C836" s="47">
        <v>4373.9399999999996</v>
      </c>
      <c r="D836" s="81">
        <f t="shared" si="24"/>
        <v>-2.4426122951660689E-3</v>
      </c>
      <c r="E836" s="40">
        <v>44620</v>
      </c>
      <c r="F836" s="24">
        <v>28.48</v>
      </c>
      <c r="G836" s="81">
        <f t="shared" si="25"/>
        <v>-2.4323431849145871E-2</v>
      </c>
      <c r="L836" s="40">
        <v>44620</v>
      </c>
      <c r="M836" s="43">
        <v>-2.4426000000000001E-3</v>
      </c>
      <c r="N836" s="1">
        <v>-2.4323431849145871E-2</v>
      </c>
    </row>
    <row r="837" spans="2:14">
      <c r="B837" s="40">
        <v>44621</v>
      </c>
      <c r="C837" s="47">
        <v>4306.26</v>
      </c>
      <c r="D837" s="81">
        <f t="shared" si="24"/>
        <v>-1.5473463284818578E-2</v>
      </c>
      <c r="E837" s="40">
        <v>44621</v>
      </c>
      <c r="F837" s="24">
        <v>28.389999</v>
      </c>
      <c r="G837" s="81">
        <f t="shared" si="25"/>
        <v>-3.1601474719101796E-3</v>
      </c>
      <c r="L837" s="40">
        <v>44621</v>
      </c>
      <c r="M837" s="43">
        <v>-1.5473499999999999E-2</v>
      </c>
      <c r="N837" s="1">
        <v>-3.1601474719101796E-3</v>
      </c>
    </row>
    <row r="838" spans="2:14">
      <c r="B838" s="40">
        <v>44622</v>
      </c>
      <c r="C838" s="47">
        <v>4386.54</v>
      </c>
      <c r="D838" s="81">
        <f t="shared" ref="D838:D901" si="26">C838/C837-1</f>
        <v>1.8642627244987553E-2</v>
      </c>
      <c r="E838" s="40">
        <v>44622</v>
      </c>
      <c r="F838" s="24">
        <v>29.280000999999999</v>
      </c>
      <c r="G838" s="81">
        <f t="shared" ref="G838:G901" si="27">F838/F837-1</f>
        <v>3.1349138124309173E-2</v>
      </c>
      <c r="L838" s="40">
        <v>44622</v>
      </c>
      <c r="M838" s="43">
        <v>1.8642599999999999E-2</v>
      </c>
      <c r="N838" s="1">
        <v>3.1349138124309173E-2</v>
      </c>
    </row>
    <row r="839" spans="2:14">
      <c r="B839" s="40">
        <v>44623</v>
      </c>
      <c r="C839" s="47">
        <v>4363.49</v>
      </c>
      <c r="D839" s="81">
        <f t="shared" si="26"/>
        <v>-5.2547110022934662E-3</v>
      </c>
      <c r="E839" s="40">
        <v>44623</v>
      </c>
      <c r="F839" s="24">
        <v>31.440000999999999</v>
      </c>
      <c r="G839" s="81">
        <f t="shared" si="27"/>
        <v>7.3770489283794705E-2</v>
      </c>
      <c r="L839" s="40">
        <v>44623</v>
      </c>
      <c r="M839" s="43">
        <v>-5.2547000000000002E-3</v>
      </c>
      <c r="N839" s="1">
        <v>7.3770489283794705E-2</v>
      </c>
    </row>
    <row r="840" spans="2:14">
      <c r="B840" s="40">
        <v>44624</v>
      </c>
      <c r="C840" s="47">
        <v>4328.87</v>
      </c>
      <c r="D840" s="81">
        <f t="shared" si="26"/>
        <v>-7.93401612012401E-3</v>
      </c>
      <c r="E840" s="40">
        <v>44624</v>
      </c>
      <c r="F840" s="24">
        <v>33.619999</v>
      </c>
      <c r="G840" s="81">
        <f t="shared" si="27"/>
        <v>6.9338356573207527E-2</v>
      </c>
      <c r="L840" s="40">
        <v>44624</v>
      </c>
      <c r="M840" s="43">
        <v>-7.9340000000000001E-3</v>
      </c>
      <c r="N840" s="1">
        <v>6.9338356573207527E-2</v>
      </c>
    </row>
    <row r="841" spans="2:14">
      <c r="B841" s="40">
        <v>44627</v>
      </c>
      <c r="C841" s="47">
        <v>4201.09</v>
      </c>
      <c r="D841" s="81">
        <f t="shared" si="26"/>
        <v>-2.9518095946517109E-2</v>
      </c>
      <c r="E841" s="40">
        <v>44627</v>
      </c>
      <c r="F841" s="24">
        <v>33.590000000000003</v>
      </c>
      <c r="G841" s="81">
        <f t="shared" si="27"/>
        <v>-8.9229627877129847E-4</v>
      </c>
      <c r="L841" s="40">
        <v>44627</v>
      </c>
      <c r="M841" s="43">
        <v>-2.9518099999999999E-2</v>
      </c>
      <c r="N841" s="1">
        <v>-8.9229627877129847E-4</v>
      </c>
    </row>
    <row r="842" spans="2:14">
      <c r="B842" s="40">
        <v>44628</v>
      </c>
      <c r="C842" s="47">
        <v>4170.7</v>
      </c>
      <c r="D842" s="81">
        <f t="shared" si="26"/>
        <v>-7.2338369327961116E-3</v>
      </c>
      <c r="E842" s="40">
        <v>44628</v>
      </c>
      <c r="F842" s="24">
        <v>31.49</v>
      </c>
      <c r="G842" s="81">
        <f t="shared" si="27"/>
        <v>-6.2518606728193094E-2</v>
      </c>
      <c r="L842" s="40">
        <v>44628</v>
      </c>
      <c r="M842" s="43">
        <v>-7.2338000000000003E-3</v>
      </c>
      <c r="N842" s="1">
        <v>-6.2518606728193094E-2</v>
      </c>
    </row>
    <row r="843" spans="2:14">
      <c r="B843" s="40">
        <v>44629</v>
      </c>
      <c r="C843" s="47">
        <v>4277.88</v>
      </c>
      <c r="D843" s="81">
        <f t="shared" si="26"/>
        <v>2.5698324022346508E-2</v>
      </c>
      <c r="E843" s="40">
        <v>44629</v>
      </c>
      <c r="F843" s="24">
        <v>30.889999</v>
      </c>
      <c r="G843" s="81">
        <f t="shared" si="27"/>
        <v>-1.9053699587170514E-2</v>
      </c>
      <c r="L843" s="40">
        <v>44629</v>
      </c>
      <c r="M843" s="43">
        <v>2.56983E-2</v>
      </c>
      <c r="N843" s="1">
        <v>-1.9053699587170514E-2</v>
      </c>
    </row>
    <row r="844" spans="2:14">
      <c r="B844" s="40">
        <v>44630</v>
      </c>
      <c r="C844" s="47">
        <v>4259.5200000000004</v>
      </c>
      <c r="D844" s="81">
        <f t="shared" si="26"/>
        <v>-4.2918454935622075E-3</v>
      </c>
      <c r="E844" s="40">
        <v>44630</v>
      </c>
      <c r="F844" s="24">
        <v>32.330002</v>
      </c>
      <c r="G844" s="81">
        <f t="shared" si="27"/>
        <v>4.661712679239649E-2</v>
      </c>
      <c r="L844" s="40">
        <v>44630</v>
      </c>
      <c r="M844" s="43">
        <v>-4.2918000000000001E-3</v>
      </c>
      <c r="N844" s="1">
        <v>4.661712679239649E-2</v>
      </c>
    </row>
    <row r="845" spans="2:14">
      <c r="B845" s="40">
        <v>44631</v>
      </c>
      <c r="C845" s="47">
        <v>4204.3100000000004</v>
      </c>
      <c r="D845" s="81">
        <f t="shared" si="26"/>
        <v>-1.2961554353542182E-2</v>
      </c>
      <c r="E845" s="40">
        <v>44631</v>
      </c>
      <c r="F845" s="24">
        <v>31.01</v>
      </c>
      <c r="G845" s="81">
        <f t="shared" si="27"/>
        <v>-4.0829010774574015E-2</v>
      </c>
      <c r="L845" s="40">
        <v>44631</v>
      </c>
      <c r="M845" s="43">
        <v>-1.29616E-2</v>
      </c>
      <c r="N845" s="1">
        <v>-4.0829010774574015E-2</v>
      </c>
    </row>
    <row r="846" spans="2:14">
      <c r="B846" s="40">
        <v>44634</v>
      </c>
      <c r="C846" s="47">
        <v>4173.1099999999997</v>
      </c>
      <c r="D846" s="81">
        <f t="shared" si="26"/>
        <v>-7.4209561140831104E-3</v>
      </c>
      <c r="E846" s="40">
        <v>44634</v>
      </c>
      <c r="F846" s="24">
        <v>31.139999</v>
      </c>
      <c r="G846" s="81">
        <f t="shared" si="27"/>
        <v>4.1921638181230403E-3</v>
      </c>
      <c r="L846" s="40">
        <v>44634</v>
      </c>
      <c r="M846" s="43">
        <v>-7.4209999999999996E-3</v>
      </c>
      <c r="N846" s="1">
        <v>4.1921638181230403E-3</v>
      </c>
    </row>
    <row r="847" spans="2:14">
      <c r="B847" s="40">
        <v>44635</v>
      </c>
      <c r="C847" s="47">
        <v>4262.45</v>
      </c>
      <c r="D847" s="81">
        <f t="shared" si="26"/>
        <v>2.1408493905025416E-2</v>
      </c>
      <c r="E847" s="40">
        <v>44635</v>
      </c>
      <c r="F847" s="24">
        <v>31.469999000000001</v>
      </c>
      <c r="G847" s="81">
        <f t="shared" si="27"/>
        <v>1.0597302845128498E-2</v>
      </c>
      <c r="L847" s="40">
        <v>44635</v>
      </c>
      <c r="M847" s="43">
        <v>2.14085E-2</v>
      </c>
      <c r="N847" s="1">
        <v>1.0597302845128498E-2</v>
      </c>
    </row>
    <row r="848" spans="2:14">
      <c r="B848" s="40">
        <v>44636</v>
      </c>
      <c r="C848" s="47">
        <v>4357.8599999999997</v>
      </c>
      <c r="D848" s="81">
        <f t="shared" si="26"/>
        <v>2.2383840279651235E-2</v>
      </c>
      <c r="E848" s="40">
        <v>44636</v>
      </c>
      <c r="F848" s="24">
        <v>31.01</v>
      </c>
      <c r="G848" s="81">
        <f t="shared" si="27"/>
        <v>-1.46170643348289E-2</v>
      </c>
      <c r="L848" s="40">
        <v>44636</v>
      </c>
      <c r="M848" s="43">
        <v>2.2383799999999999E-2</v>
      </c>
      <c r="N848" s="1">
        <v>-1.46170643348289E-2</v>
      </c>
    </row>
    <row r="849" spans="2:14">
      <c r="B849" s="40">
        <v>44637</v>
      </c>
      <c r="C849" s="47">
        <v>4411.67</v>
      </c>
      <c r="D849" s="81">
        <f t="shared" si="26"/>
        <v>1.2347803738532281E-2</v>
      </c>
      <c r="E849" s="40">
        <v>44637</v>
      </c>
      <c r="F849" s="24">
        <v>31.25</v>
      </c>
      <c r="G849" s="81">
        <f t="shared" si="27"/>
        <v>7.7394388906804057E-3</v>
      </c>
      <c r="L849" s="40">
        <v>44637</v>
      </c>
      <c r="M849" s="43">
        <v>1.2347800000000001E-2</v>
      </c>
      <c r="N849" s="1">
        <v>7.7394388906804057E-3</v>
      </c>
    </row>
    <row r="850" spans="2:14">
      <c r="B850" s="40">
        <v>44638</v>
      </c>
      <c r="C850" s="47">
        <v>4463.12</v>
      </c>
      <c r="D850" s="81">
        <f t="shared" si="26"/>
        <v>1.1662250349640857E-2</v>
      </c>
      <c r="E850" s="40">
        <v>44638</v>
      </c>
      <c r="F850" s="24">
        <v>31.93</v>
      </c>
      <c r="G850" s="81">
        <f t="shared" si="27"/>
        <v>2.1760000000000002E-2</v>
      </c>
      <c r="L850" s="40">
        <v>44638</v>
      </c>
      <c r="M850" s="43">
        <v>1.16623E-2</v>
      </c>
      <c r="N850" s="1">
        <v>2.1760000000000002E-2</v>
      </c>
    </row>
    <row r="851" spans="2:14">
      <c r="B851" s="40">
        <v>44641</v>
      </c>
      <c r="C851" s="47">
        <v>4461.18</v>
      </c>
      <c r="D851" s="81">
        <f t="shared" si="26"/>
        <v>-4.3467350194470455E-4</v>
      </c>
      <c r="E851" s="40">
        <v>44641</v>
      </c>
      <c r="F851" s="24">
        <v>32.049999</v>
      </c>
      <c r="G851" s="81">
        <f t="shared" si="27"/>
        <v>3.7581897901659556E-3</v>
      </c>
      <c r="L851" s="40">
        <v>44641</v>
      </c>
      <c r="M851" s="43">
        <v>-4.347E-4</v>
      </c>
      <c r="N851" s="1">
        <v>3.7581897901659556E-3</v>
      </c>
    </row>
    <row r="852" spans="2:14">
      <c r="B852" s="40">
        <v>44642</v>
      </c>
      <c r="C852" s="47">
        <v>4511.6099999999997</v>
      </c>
      <c r="D852" s="81">
        <f t="shared" si="26"/>
        <v>1.1304184094790948E-2</v>
      </c>
      <c r="E852" s="40">
        <v>44642</v>
      </c>
      <c r="F852" s="24">
        <v>32.110000999999997</v>
      </c>
      <c r="G852" s="81">
        <f t="shared" si="27"/>
        <v>1.8721373439043454E-3</v>
      </c>
      <c r="L852" s="40">
        <v>44642</v>
      </c>
      <c r="M852" s="43">
        <v>1.13042E-2</v>
      </c>
      <c r="N852" s="1">
        <v>1.8721373439043454E-3</v>
      </c>
    </row>
    <row r="853" spans="2:14">
      <c r="B853" s="40">
        <v>44643</v>
      </c>
      <c r="C853" s="47">
        <v>4456.24</v>
      </c>
      <c r="D853" s="81">
        <f t="shared" si="26"/>
        <v>-1.2272780670315009E-2</v>
      </c>
      <c r="E853" s="40">
        <v>44643</v>
      </c>
      <c r="F853" s="24">
        <v>32.610000999999997</v>
      </c>
      <c r="G853" s="81">
        <f t="shared" si="27"/>
        <v>1.5571472576410006E-2</v>
      </c>
      <c r="L853" s="40">
        <v>44643</v>
      </c>
      <c r="M853" s="43">
        <v>-1.22728E-2</v>
      </c>
      <c r="N853" s="1">
        <v>1.5571472576410006E-2</v>
      </c>
    </row>
    <row r="854" spans="2:14">
      <c r="B854" s="40">
        <v>44644</v>
      </c>
      <c r="C854" s="47">
        <v>4520.16</v>
      </c>
      <c r="D854" s="81">
        <f t="shared" si="26"/>
        <v>1.4343931206577842E-2</v>
      </c>
      <c r="E854" s="40">
        <v>44644</v>
      </c>
      <c r="F854" s="24">
        <v>32.68</v>
      </c>
      <c r="G854" s="81">
        <f t="shared" si="27"/>
        <v>2.1465500721695729E-3</v>
      </c>
      <c r="L854" s="40">
        <v>44644</v>
      </c>
      <c r="M854" s="43">
        <v>1.43439E-2</v>
      </c>
      <c r="N854" s="1">
        <v>2.1465500721695729E-3</v>
      </c>
    </row>
    <row r="855" spans="2:14">
      <c r="B855" s="40">
        <v>44645</v>
      </c>
      <c r="C855" s="47">
        <v>4543.0600000000004</v>
      </c>
      <c r="D855" s="81">
        <f t="shared" si="26"/>
        <v>5.0661923471737591E-3</v>
      </c>
      <c r="E855" s="40">
        <v>44645</v>
      </c>
      <c r="F855" s="24">
        <v>32.849997999999999</v>
      </c>
      <c r="G855" s="81">
        <f t="shared" si="27"/>
        <v>5.201897184822446E-3</v>
      </c>
      <c r="L855" s="40">
        <v>44645</v>
      </c>
      <c r="M855" s="43">
        <v>5.0661999999999999E-3</v>
      </c>
      <c r="N855" s="1">
        <v>5.201897184822446E-3</v>
      </c>
    </row>
    <row r="856" spans="2:14">
      <c r="B856" s="40">
        <v>44648</v>
      </c>
      <c r="C856" s="47">
        <v>4575.5200000000004</v>
      </c>
      <c r="D856" s="81">
        <f t="shared" si="26"/>
        <v>7.1449639670178033E-3</v>
      </c>
      <c r="E856" s="40">
        <v>44648</v>
      </c>
      <c r="F856" s="24">
        <v>32.369999</v>
      </c>
      <c r="G856" s="81">
        <f t="shared" si="27"/>
        <v>-1.461184259432835E-2</v>
      </c>
      <c r="L856" s="40">
        <v>44648</v>
      </c>
      <c r="M856" s="43">
        <v>7.1450000000000003E-3</v>
      </c>
      <c r="N856" s="1">
        <v>-1.461184259432835E-2</v>
      </c>
    </row>
    <row r="857" spans="2:14">
      <c r="B857" s="40">
        <v>44649</v>
      </c>
      <c r="C857" s="47">
        <v>4631.6000000000004</v>
      </c>
      <c r="D857" s="81">
        <f t="shared" si="26"/>
        <v>1.2256530405287291E-2</v>
      </c>
      <c r="E857" s="40">
        <v>44649</v>
      </c>
      <c r="F857" s="24">
        <v>32.220001000000003</v>
      </c>
      <c r="G857" s="81">
        <f t="shared" si="27"/>
        <v>-4.6338586541196936E-3</v>
      </c>
      <c r="L857" s="40">
        <v>44649</v>
      </c>
      <c r="M857" s="43">
        <v>1.22565E-2</v>
      </c>
      <c r="N857" s="1">
        <v>-4.6338586541196936E-3</v>
      </c>
    </row>
    <row r="858" spans="2:14">
      <c r="B858" s="40">
        <v>44650</v>
      </c>
      <c r="C858" s="47">
        <v>4602.45</v>
      </c>
      <c r="D858" s="81">
        <f t="shared" si="26"/>
        <v>-6.2937213921756552E-3</v>
      </c>
      <c r="E858" s="40">
        <v>44650</v>
      </c>
      <c r="F858" s="24">
        <v>31.98</v>
      </c>
      <c r="G858" s="81">
        <f t="shared" si="27"/>
        <v>-7.4488203771316819E-3</v>
      </c>
      <c r="L858" s="40">
        <v>44650</v>
      </c>
      <c r="M858" s="43">
        <v>-6.2937000000000002E-3</v>
      </c>
      <c r="N858" s="1">
        <v>-7.4488203771316819E-3</v>
      </c>
    </row>
    <row r="859" spans="2:14">
      <c r="B859" s="40">
        <v>44651</v>
      </c>
      <c r="C859" s="47">
        <v>4530.41</v>
      </c>
      <c r="D859" s="81">
        <f t="shared" si="26"/>
        <v>-1.5652532890091164E-2</v>
      </c>
      <c r="E859" s="40">
        <v>44651</v>
      </c>
      <c r="F859" s="24">
        <v>31.98</v>
      </c>
      <c r="G859" s="81">
        <f t="shared" si="27"/>
        <v>0</v>
      </c>
      <c r="L859" s="40">
        <v>44651</v>
      </c>
      <c r="M859" s="43">
        <v>-1.56525E-2</v>
      </c>
      <c r="N859" s="1">
        <v>0</v>
      </c>
    </row>
    <row r="860" spans="2:14">
      <c r="B860" s="40">
        <v>44652</v>
      </c>
      <c r="C860" s="47">
        <v>4545.8599999999997</v>
      </c>
      <c r="D860" s="81">
        <f t="shared" si="26"/>
        <v>3.4102873691344016E-3</v>
      </c>
      <c r="E860" s="40">
        <v>44652</v>
      </c>
      <c r="F860" s="24">
        <v>32.439999</v>
      </c>
      <c r="G860" s="81">
        <f t="shared" si="27"/>
        <v>1.4383958724202728E-2</v>
      </c>
      <c r="L860" s="40">
        <v>44652</v>
      </c>
      <c r="M860" s="43">
        <v>3.4102999999999998E-3</v>
      </c>
      <c r="N860" s="1">
        <v>1.4383958724202728E-2</v>
      </c>
    </row>
    <row r="861" spans="2:14">
      <c r="B861" s="40">
        <v>44655</v>
      </c>
      <c r="C861" s="47">
        <v>4582.6400000000003</v>
      </c>
      <c r="D861" s="81">
        <f t="shared" si="26"/>
        <v>8.0908782936564005E-3</v>
      </c>
      <c r="E861" s="40">
        <v>44655</v>
      </c>
      <c r="F861" s="24">
        <v>32.090000000000003</v>
      </c>
      <c r="G861" s="81">
        <f t="shared" si="27"/>
        <v>-1.0789118704966572E-2</v>
      </c>
      <c r="L861" s="40">
        <v>44655</v>
      </c>
      <c r="M861" s="43">
        <v>8.0908999999999998E-3</v>
      </c>
      <c r="N861" s="1">
        <v>-1.0789118704966572E-2</v>
      </c>
    </row>
    <row r="862" spans="2:14">
      <c r="B862" s="40">
        <v>44656</v>
      </c>
      <c r="C862" s="47">
        <v>4525.12</v>
      </c>
      <c r="D862" s="81">
        <f t="shared" si="26"/>
        <v>-1.2551716914267819E-2</v>
      </c>
      <c r="E862" s="40">
        <v>44656</v>
      </c>
      <c r="F862" s="24">
        <v>32.220001000000003</v>
      </c>
      <c r="G862" s="81">
        <f t="shared" si="27"/>
        <v>4.0511374259895039E-3</v>
      </c>
      <c r="L862" s="40">
        <v>44656</v>
      </c>
      <c r="M862" s="43">
        <v>-1.2551700000000001E-2</v>
      </c>
      <c r="N862" s="1">
        <v>4.0511374259895039E-3</v>
      </c>
    </row>
    <row r="863" spans="2:14">
      <c r="B863" s="40">
        <v>44657</v>
      </c>
      <c r="C863" s="47">
        <v>4481.1499999999996</v>
      </c>
      <c r="D863" s="81">
        <f t="shared" si="26"/>
        <v>-9.7168693868892042E-3</v>
      </c>
      <c r="E863" s="40">
        <v>44657</v>
      </c>
      <c r="F863" s="24">
        <v>33.060001</v>
      </c>
      <c r="G863" s="81">
        <f t="shared" si="27"/>
        <v>2.6070762691782434E-2</v>
      </c>
      <c r="L863" s="40">
        <v>44657</v>
      </c>
      <c r="M863" s="43">
        <v>-9.7169000000000005E-3</v>
      </c>
      <c r="N863" s="1">
        <v>2.6070762691782434E-2</v>
      </c>
    </row>
    <row r="864" spans="2:14">
      <c r="B864" s="40">
        <v>44658</v>
      </c>
      <c r="C864" s="47">
        <v>4500.21</v>
      </c>
      <c r="D864" s="81">
        <f t="shared" si="26"/>
        <v>4.2533724601945266E-3</v>
      </c>
      <c r="E864" s="40">
        <v>44658</v>
      </c>
      <c r="F864" s="24">
        <v>33.729999999999997</v>
      </c>
      <c r="G864" s="81">
        <f t="shared" si="27"/>
        <v>2.0266151837079471E-2</v>
      </c>
      <c r="L864" s="40">
        <v>44658</v>
      </c>
      <c r="M864" s="43">
        <v>4.2534000000000001E-3</v>
      </c>
      <c r="N864" s="1">
        <v>2.0266151837079471E-2</v>
      </c>
    </row>
    <row r="865" spans="2:14">
      <c r="B865" s="40">
        <v>44659</v>
      </c>
      <c r="C865" s="47">
        <v>4488.28</v>
      </c>
      <c r="D865" s="81">
        <f t="shared" si="26"/>
        <v>-2.6509873983658894E-3</v>
      </c>
      <c r="E865" s="40">
        <v>44659</v>
      </c>
      <c r="F865" s="24">
        <v>34.75</v>
      </c>
      <c r="G865" s="81">
        <f t="shared" si="27"/>
        <v>3.0240142306552142E-2</v>
      </c>
      <c r="L865" s="40">
        <v>44659</v>
      </c>
      <c r="M865" s="43">
        <v>-2.6510000000000001E-3</v>
      </c>
      <c r="N865" s="1">
        <v>3.0240142306552142E-2</v>
      </c>
    </row>
    <row r="866" spans="2:14">
      <c r="B866" s="40">
        <v>44662</v>
      </c>
      <c r="C866" s="47">
        <v>4412.53</v>
      </c>
      <c r="D866" s="81">
        <f t="shared" si="26"/>
        <v>-1.6877289295676778E-2</v>
      </c>
      <c r="E866" s="40">
        <v>44662</v>
      </c>
      <c r="F866" s="24">
        <v>33.529998999999997</v>
      </c>
      <c r="G866" s="81">
        <f t="shared" si="27"/>
        <v>-3.5107942446043316E-2</v>
      </c>
      <c r="L866" s="40">
        <v>44662</v>
      </c>
      <c r="M866" s="43">
        <v>-1.6877300000000001E-2</v>
      </c>
      <c r="N866" s="1">
        <v>-3.5107942446043316E-2</v>
      </c>
    </row>
    <row r="867" spans="2:14">
      <c r="B867" s="40">
        <v>44663</v>
      </c>
      <c r="C867" s="47">
        <v>4397.45</v>
      </c>
      <c r="D867" s="81">
        <f t="shared" si="26"/>
        <v>-3.4175405039739148E-3</v>
      </c>
      <c r="E867" s="40">
        <v>44663</v>
      </c>
      <c r="F867" s="24">
        <v>32.57</v>
      </c>
      <c r="G867" s="81">
        <f t="shared" si="27"/>
        <v>-2.8631047677633248E-2</v>
      </c>
      <c r="L867" s="40">
        <v>44663</v>
      </c>
      <c r="M867" s="43">
        <v>-3.4175E-3</v>
      </c>
      <c r="N867" s="1">
        <v>-2.8631047677633248E-2</v>
      </c>
    </row>
    <row r="868" spans="2:14">
      <c r="B868" s="40">
        <v>44664</v>
      </c>
      <c r="C868" s="47">
        <v>4446.59</v>
      </c>
      <c r="D868" s="81">
        <f t="shared" si="26"/>
        <v>1.1174658040455254E-2</v>
      </c>
      <c r="E868" s="40">
        <v>44664</v>
      </c>
      <c r="F868" s="24">
        <v>32.32</v>
      </c>
      <c r="G868" s="81">
        <f t="shared" si="27"/>
        <v>-7.675775253300543E-3</v>
      </c>
      <c r="L868" s="40">
        <v>44664</v>
      </c>
      <c r="M868" s="43">
        <v>1.1174699999999999E-2</v>
      </c>
      <c r="N868" s="1">
        <v>-7.675775253300543E-3</v>
      </c>
    </row>
    <row r="869" spans="2:14">
      <c r="B869" s="40">
        <v>44665</v>
      </c>
      <c r="C869" s="47">
        <v>4392.59</v>
      </c>
      <c r="D869" s="81">
        <f t="shared" si="26"/>
        <v>-1.2144137417661627E-2</v>
      </c>
      <c r="E869" s="40">
        <v>44665</v>
      </c>
      <c r="F869" s="24">
        <v>32.099997999999999</v>
      </c>
      <c r="G869" s="81">
        <f t="shared" si="27"/>
        <v>-6.8069925742574311E-3</v>
      </c>
      <c r="L869" s="40">
        <v>44665</v>
      </c>
      <c r="M869" s="43">
        <v>-1.21441E-2</v>
      </c>
      <c r="N869" s="1">
        <v>-6.8069925742574311E-3</v>
      </c>
    </row>
    <row r="870" spans="2:14">
      <c r="B870" s="40">
        <v>44669</v>
      </c>
      <c r="C870" s="47">
        <v>4391.6899999999996</v>
      </c>
      <c r="D870" s="81">
        <f t="shared" si="26"/>
        <v>-2.0489050878880199E-4</v>
      </c>
      <c r="E870" s="40">
        <v>44669</v>
      </c>
      <c r="F870" s="24">
        <v>31.49</v>
      </c>
      <c r="G870" s="81">
        <f t="shared" si="27"/>
        <v>-1.9003054143492459E-2</v>
      </c>
      <c r="L870" s="40">
        <v>44669</v>
      </c>
      <c r="M870" s="43">
        <v>-2.0489999999999999E-4</v>
      </c>
      <c r="N870" s="1">
        <v>-1.9003054143492459E-2</v>
      </c>
    </row>
    <row r="871" spans="2:14">
      <c r="B871" s="40">
        <v>44670</v>
      </c>
      <c r="C871" s="47">
        <v>4462.21</v>
      </c>
      <c r="D871" s="81">
        <f t="shared" si="26"/>
        <v>1.6057599693967584E-2</v>
      </c>
      <c r="E871" s="40">
        <v>44670</v>
      </c>
      <c r="F871" s="24">
        <v>32.610000999999997</v>
      </c>
      <c r="G871" s="81">
        <f t="shared" si="27"/>
        <v>3.5566878374087008E-2</v>
      </c>
      <c r="L871" s="40">
        <v>44670</v>
      </c>
      <c r="M871" s="43">
        <v>1.6057600000000002E-2</v>
      </c>
      <c r="N871" s="1">
        <v>3.5566878374087008E-2</v>
      </c>
    </row>
    <row r="872" spans="2:14">
      <c r="B872" s="40">
        <v>44671</v>
      </c>
      <c r="C872" s="47">
        <v>4459.45</v>
      </c>
      <c r="D872" s="81">
        <f t="shared" si="26"/>
        <v>-6.1852759058855789E-4</v>
      </c>
      <c r="E872" s="40">
        <v>44671</v>
      </c>
      <c r="F872" s="24">
        <v>32.509998000000003</v>
      </c>
      <c r="G872" s="81">
        <f t="shared" si="27"/>
        <v>-3.0666359071866989E-3</v>
      </c>
      <c r="L872" s="40">
        <v>44671</v>
      </c>
      <c r="M872" s="43">
        <v>-6.1850000000000002E-4</v>
      </c>
      <c r="N872" s="1">
        <v>-3.0666359071866989E-3</v>
      </c>
    </row>
    <row r="873" spans="2:14">
      <c r="B873" s="40">
        <v>44672</v>
      </c>
      <c r="C873" s="47">
        <v>4393.66</v>
      </c>
      <c r="D873" s="81">
        <f t="shared" si="26"/>
        <v>-1.475294038502506E-2</v>
      </c>
      <c r="E873" s="40">
        <v>44672</v>
      </c>
      <c r="F873" s="24">
        <v>32.139999000000003</v>
      </c>
      <c r="G873" s="81">
        <f t="shared" si="27"/>
        <v>-1.1381083443930073E-2</v>
      </c>
      <c r="L873" s="40">
        <v>44672</v>
      </c>
      <c r="M873" s="43">
        <v>-1.4752899999999999E-2</v>
      </c>
      <c r="N873" s="1">
        <v>-1.1381083443930073E-2</v>
      </c>
    </row>
    <row r="874" spans="2:14">
      <c r="B874" s="40">
        <v>44673</v>
      </c>
      <c r="C874" s="47">
        <v>4271.78</v>
      </c>
      <c r="D874" s="81">
        <f t="shared" si="26"/>
        <v>-2.773997077607282E-2</v>
      </c>
      <c r="E874" s="40">
        <v>44673</v>
      </c>
      <c r="F874" s="24">
        <v>31.34</v>
      </c>
      <c r="G874" s="81">
        <f t="shared" si="27"/>
        <v>-2.4891071091819317E-2</v>
      </c>
      <c r="L874" s="40">
        <v>44673</v>
      </c>
      <c r="M874" s="43">
        <v>-2.7740000000000001E-2</v>
      </c>
      <c r="N874" s="1">
        <v>-2.4891071091819317E-2</v>
      </c>
    </row>
    <row r="875" spans="2:14">
      <c r="B875" s="40">
        <v>44676</v>
      </c>
      <c r="C875" s="47">
        <v>4296.12</v>
      </c>
      <c r="D875" s="81">
        <f t="shared" si="26"/>
        <v>5.6978589721381478E-3</v>
      </c>
      <c r="E875" s="40">
        <v>44676</v>
      </c>
      <c r="F875" s="24">
        <v>31.58</v>
      </c>
      <c r="G875" s="81">
        <f t="shared" si="27"/>
        <v>7.657945118059839E-3</v>
      </c>
      <c r="L875" s="40">
        <v>44676</v>
      </c>
      <c r="M875" s="43">
        <v>5.6978999999999997E-3</v>
      </c>
      <c r="N875" s="1">
        <v>7.657945118059839E-3</v>
      </c>
    </row>
    <row r="876" spans="2:14">
      <c r="B876" s="40">
        <v>44677</v>
      </c>
      <c r="C876" s="47">
        <v>4175.2</v>
      </c>
      <c r="D876" s="81">
        <f t="shared" si="26"/>
        <v>-2.8146327383778869E-2</v>
      </c>
      <c r="E876" s="40">
        <v>44677</v>
      </c>
      <c r="F876" s="24">
        <v>30.5</v>
      </c>
      <c r="G876" s="81">
        <f t="shared" si="27"/>
        <v>-3.4198860037998657E-2</v>
      </c>
      <c r="L876" s="40">
        <v>44677</v>
      </c>
      <c r="M876" s="43">
        <v>-2.8146299999999999E-2</v>
      </c>
      <c r="N876" s="1">
        <v>-3.4198860037998657E-2</v>
      </c>
    </row>
    <row r="877" spans="2:14">
      <c r="B877" s="40">
        <v>44678</v>
      </c>
      <c r="C877" s="47">
        <v>4183.96</v>
      </c>
      <c r="D877" s="81">
        <f t="shared" si="26"/>
        <v>2.0981030848821192E-3</v>
      </c>
      <c r="E877" s="40">
        <v>44678</v>
      </c>
      <c r="F877" s="24">
        <v>30.059999000000001</v>
      </c>
      <c r="G877" s="81">
        <f t="shared" si="27"/>
        <v>-1.4426262295081926E-2</v>
      </c>
      <c r="L877" s="40">
        <v>44678</v>
      </c>
      <c r="M877" s="43">
        <v>2.0980999999999999E-3</v>
      </c>
      <c r="N877" s="1">
        <v>-1.4426262295081926E-2</v>
      </c>
    </row>
    <row r="878" spans="2:14">
      <c r="B878" s="40">
        <v>44679</v>
      </c>
      <c r="C878" s="47">
        <v>4287.5</v>
      </c>
      <c r="D878" s="81">
        <f t="shared" si="26"/>
        <v>2.474689050564538E-2</v>
      </c>
      <c r="E878" s="40">
        <v>44679</v>
      </c>
      <c r="F878" s="24">
        <v>29.799999</v>
      </c>
      <c r="G878" s="81">
        <f t="shared" si="27"/>
        <v>-8.6493682185418974E-3</v>
      </c>
      <c r="L878" s="40">
        <v>44679</v>
      </c>
      <c r="M878" s="43">
        <v>2.4746899999999999E-2</v>
      </c>
      <c r="N878" s="1">
        <v>-8.6493682185418974E-3</v>
      </c>
    </row>
    <row r="879" spans="2:14">
      <c r="B879" s="40">
        <v>44680</v>
      </c>
      <c r="C879" s="47">
        <v>4131.93</v>
      </c>
      <c r="D879" s="81">
        <f t="shared" si="26"/>
        <v>-3.6284548104956182E-2</v>
      </c>
      <c r="E879" s="40">
        <v>44680</v>
      </c>
      <c r="F879" s="24">
        <v>29.799999</v>
      </c>
      <c r="G879" s="81">
        <f t="shared" si="27"/>
        <v>0</v>
      </c>
      <c r="L879" s="40">
        <v>44680</v>
      </c>
      <c r="M879" s="43">
        <v>-3.6284499999999997E-2</v>
      </c>
      <c r="N879" s="1">
        <v>0</v>
      </c>
    </row>
    <row r="880" spans="2:14">
      <c r="B880" s="40">
        <v>44683</v>
      </c>
      <c r="C880" s="47">
        <v>4155.38</v>
      </c>
      <c r="D880" s="81">
        <f t="shared" si="26"/>
        <v>5.6753139573999523E-3</v>
      </c>
      <c r="E880" s="40">
        <v>44683</v>
      </c>
      <c r="F880" s="24">
        <v>30.280000999999999</v>
      </c>
      <c r="G880" s="81">
        <f t="shared" si="27"/>
        <v>1.610745020494786E-2</v>
      </c>
      <c r="L880" s="40">
        <v>44683</v>
      </c>
      <c r="M880" s="43">
        <v>5.6753000000000003E-3</v>
      </c>
      <c r="N880" s="1">
        <v>1.610745020494786E-2</v>
      </c>
    </row>
    <row r="881" spans="2:14">
      <c r="B881" s="40">
        <v>44684</v>
      </c>
      <c r="C881" s="47">
        <v>4175.4799999999996</v>
      </c>
      <c r="D881" s="81">
        <f t="shared" si="26"/>
        <v>4.8371027439124692E-3</v>
      </c>
      <c r="E881" s="40">
        <v>44684</v>
      </c>
      <c r="F881" s="24">
        <v>30.75</v>
      </c>
      <c r="G881" s="81">
        <f t="shared" si="27"/>
        <v>1.5521763027682933E-2</v>
      </c>
      <c r="L881" s="40">
        <v>44684</v>
      </c>
      <c r="M881" s="43">
        <v>4.8371000000000004E-3</v>
      </c>
      <c r="N881" s="1">
        <v>1.5521763027682933E-2</v>
      </c>
    </row>
    <row r="882" spans="2:14">
      <c r="B882" s="40">
        <v>44685</v>
      </c>
      <c r="C882" s="47">
        <v>4300.17</v>
      </c>
      <c r="D882" s="81">
        <f t="shared" si="26"/>
        <v>2.9862434977535601E-2</v>
      </c>
      <c r="E882" s="40">
        <v>44685</v>
      </c>
      <c r="F882" s="24">
        <v>31.35</v>
      </c>
      <c r="G882" s="81">
        <f t="shared" si="27"/>
        <v>1.9512195121951237E-2</v>
      </c>
      <c r="L882" s="40">
        <v>44685</v>
      </c>
      <c r="M882" s="43">
        <v>2.9862400000000001E-2</v>
      </c>
      <c r="N882" s="1">
        <v>1.9512195121951237E-2</v>
      </c>
    </row>
    <row r="883" spans="2:14">
      <c r="B883" s="40">
        <v>44686</v>
      </c>
      <c r="C883" s="47">
        <v>4146.87</v>
      </c>
      <c r="D883" s="81">
        <f t="shared" si="26"/>
        <v>-3.5649753381843063E-2</v>
      </c>
      <c r="E883" s="40">
        <v>44686</v>
      </c>
      <c r="F883" s="24">
        <v>23.75</v>
      </c>
      <c r="G883" s="81">
        <f t="shared" si="27"/>
        <v>-0.24242424242424243</v>
      </c>
      <c r="L883" s="40">
        <v>44686</v>
      </c>
      <c r="M883" s="43">
        <v>-3.5649800000000002E-2</v>
      </c>
      <c r="N883" s="1">
        <v>-0.24242424242424243</v>
      </c>
    </row>
    <row r="884" spans="2:14">
      <c r="B884" s="40">
        <v>44687</v>
      </c>
      <c r="C884" s="47">
        <v>4123.34</v>
      </c>
      <c r="D884" s="81">
        <f t="shared" si="26"/>
        <v>-5.6741590645473794E-3</v>
      </c>
      <c r="E884" s="40">
        <v>44687</v>
      </c>
      <c r="F884" s="24">
        <v>23.950001</v>
      </c>
      <c r="G884" s="81">
        <f t="shared" si="27"/>
        <v>8.4210947368421607E-3</v>
      </c>
      <c r="L884" s="40">
        <v>44687</v>
      </c>
      <c r="M884" s="43">
        <v>-5.6741999999999999E-3</v>
      </c>
      <c r="N884" s="1">
        <v>8.4210947368421607E-3</v>
      </c>
    </row>
    <row r="885" spans="2:14">
      <c r="B885" s="40">
        <v>44690</v>
      </c>
      <c r="C885" s="47">
        <v>3991.24</v>
      </c>
      <c r="D885" s="81">
        <f t="shared" si="26"/>
        <v>-3.2037134944001844E-2</v>
      </c>
      <c r="E885" s="40">
        <v>44690</v>
      </c>
      <c r="F885" s="24">
        <v>24.91</v>
      </c>
      <c r="G885" s="81">
        <f t="shared" si="27"/>
        <v>4.0083463879604819E-2</v>
      </c>
      <c r="L885" s="40">
        <v>44690</v>
      </c>
      <c r="M885" s="43">
        <v>-3.2037099999999999E-2</v>
      </c>
      <c r="N885" s="1">
        <v>4.0083463879604819E-2</v>
      </c>
    </row>
    <row r="886" spans="2:14">
      <c r="B886" s="40">
        <v>44691</v>
      </c>
      <c r="C886" s="47">
        <v>4001.05</v>
      </c>
      <c r="D886" s="81">
        <f t="shared" si="26"/>
        <v>2.4578827632515399E-3</v>
      </c>
      <c r="E886" s="40">
        <v>44691</v>
      </c>
      <c r="F886" s="24">
        <v>25.66</v>
      </c>
      <c r="G886" s="81">
        <f t="shared" si="27"/>
        <v>3.010839020473699E-2</v>
      </c>
      <c r="L886" s="40">
        <v>44691</v>
      </c>
      <c r="M886" s="43">
        <v>2.4578999999999998E-3</v>
      </c>
      <c r="N886" s="1">
        <v>3.010839020473699E-2</v>
      </c>
    </row>
    <row r="887" spans="2:14">
      <c r="B887" s="40">
        <v>44692</v>
      </c>
      <c r="C887" s="47">
        <v>3935.18</v>
      </c>
      <c r="D887" s="81">
        <f t="shared" si="26"/>
        <v>-1.6463178415666024E-2</v>
      </c>
      <c r="E887" s="40">
        <v>44692</v>
      </c>
      <c r="F887" s="24">
        <v>24.200001</v>
      </c>
      <c r="G887" s="81">
        <f t="shared" si="27"/>
        <v>-5.6897856586126228E-2</v>
      </c>
      <c r="L887" s="40">
        <v>44692</v>
      </c>
      <c r="M887" s="43">
        <v>-1.6463200000000001E-2</v>
      </c>
      <c r="N887" s="1">
        <v>-5.6897856586126228E-2</v>
      </c>
    </row>
    <row r="888" spans="2:14">
      <c r="B888" s="40">
        <v>44693</v>
      </c>
      <c r="C888" s="47">
        <v>3930.08</v>
      </c>
      <c r="D888" s="81">
        <f t="shared" si="26"/>
        <v>-1.2960017076728558E-3</v>
      </c>
      <c r="E888" s="40">
        <v>44693</v>
      </c>
      <c r="F888" s="24">
        <v>24.48</v>
      </c>
      <c r="G888" s="81">
        <f t="shared" si="27"/>
        <v>1.1570206133462602E-2</v>
      </c>
      <c r="L888" s="40">
        <v>44693</v>
      </c>
      <c r="M888" s="43">
        <v>-1.2960000000000001E-3</v>
      </c>
      <c r="N888" s="1">
        <v>1.1570206133462602E-2</v>
      </c>
    </row>
    <row r="889" spans="2:14">
      <c r="B889" s="40">
        <v>44694</v>
      </c>
      <c r="C889" s="47">
        <v>4023.89</v>
      </c>
      <c r="D889" s="81">
        <f t="shared" si="26"/>
        <v>2.386974310955492E-2</v>
      </c>
      <c r="E889" s="40">
        <v>44694</v>
      </c>
      <c r="F889" s="24">
        <v>24.940000999999999</v>
      </c>
      <c r="G889" s="81">
        <f t="shared" si="27"/>
        <v>1.8790890522875747E-2</v>
      </c>
      <c r="L889" s="40">
        <v>44694</v>
      </c>
      <c r="M889" s="43">
        <v>2.3869700000000001E-2</v>
      </c>
      <c r="N889" s="1">
        <v>1.8790890522875747E-2</v>
      </c>
    </row>
    <row r="890" spans="2:14">
      <c r="B890" s="40">
        <v>44697</v>
      </c>
      <c r="C890" s="47">
        <v>4008.01</v>
      </c>
      <c r="D890" s="81">
        <f t="shared" si="26"/>
        <v>-3.9464299471405617E-3</v>
      </c>
      <c r="E890" s="40">
        <v>44697</v>
      </c>
      <c r="F890" s="24">
        <v>24.540001</v>
      </c>
      <c r="G890" s="81">
        <f t="shared" si="27"/>
        <v>-1.6038491738633032E-2</v>
      </c>
      <c r="L890" s="40">
        <v>44697</v>
      </c>
      <c r="M890" s="43">
        <v>-3.9464000000000001E-3</v>
      </c>
      <c r="N890" s="1">
        <v>-1.6038491738633032E-2</v>
      </c>
    </row>
    <row r="891" spans="2:14">
      <c r="B891" s="40">
        <v>44698</v>
      </c>
      <c r="C891" s="47">
        <v>4088.85</v>
      </c>
      <c r="D891" s="81">
        <f t="shared" si="26"/>
        <v>2.0169610355263545E-2</v>
      </c>
      <c r="E891" s="40">
        <v>44698</v>
      </c>
      <c r="F891" s="24">
        <v>24.42</v>
      </c>
      <c r="G891" s="81">
        <f t="shared" si="27"/>
        <v>-4.8900161006513176E-3</v>
      </c>
      <c r="L891" s="40">
        <v>44698</v>
      </c>
      <c r="M891" s="43">
        <v>2.0169599999999999E-2</v>
      </c>
      <c r="N891" s="1">
        <v>-4.8900161006513176E-3</v>
      </c>
    </row>
    <row r="892" spans="2:14">
      <c r="B892" s="40">
        <v>44699</v>
      </c>
      <c r="C892" s="47">
        <v>3923.68</v>
      </c>
      <c r="D892" s="81">
        <f t="shared" si="26"/>
        <v>-4.0395221150201222E-2</v>
      </c>
      <c r="E892" s="40">
        <v>44699</v>
      </c>
      <c r="F892" s="24">
        <v>22.98</v>
      </c>
      <c r="G892" s="81">
        <f t="shared" si="27"/>
        <v>-5.8968058968059012E-2</v>
      </c>
      <c r="L892" s="40">
        <v>44699</v>
      </c>
      <c r="M892" s="43">
        <v>-4.0395199999999999E-2</v>
      </c>
      <c r="N892" s="1">
        <v>-5.8968058968059012E-2</v>
      </c>
    </row>
    <row r="893" spans="2:14">
      <c r="B893" s="40">
        <v>44700</v>
      </c>
      <c r="C893" s="47">
        <v>3900.79</v>
      </c>
      <c r="D893" s="81">
        <f t="shared" si="26"/>
        <v>-5.8338090771927753E-3</v>
      </c>
      <c r="E893" s="40">
        <v>44700</v>
      </c>
      <c r="F893" s="24">
        <v>22.99</v>
      </c>
      <c r="G893" s="81">
        <f t="shared" si="27"/>
        <v>4.3516100957341486E-4</v>
      </c>
      <c r="L893" s="40">
        <v>44700</v>
      </c>
      <c r="M893" s="43">
        <v>-5.8338000000000001E-3</v>
      </c>
      <c r="N893" s="1">
        <v>4.3516100957341486E-4</v>
      </c>
    </row>
    <row r="894" spans="2:14">
      <c r="B894" s="40">
        <v>44701</v>
      </c>
      <c r="C894" s="47">
        <v>3901.36</v>
      </c>
      <c r="D894" s="81">
        <f t="shared" si="26"/>
        <v>1.4612424662696633E-4</v>
      </c>
      <c r="E894" s="40">
        <v>44701</v>
      </c>
      <c r="F894" s="24">
        <v>23.51</v>
      </c>
      <c r="G894" s="81">
        <f t="shared" si="27"/>
        <v>2.2618529795563447E-2</v>
      </c>
      <c r="L894" s="40">
        <v>44701</v>
      </c>
      <c r="M894" s="43">
        <v>1.461E-4</v>
      </c>
      <c r="N894" s="1">
        <v>2.2618529795563447E-2</v>
      </c>
    </row>
    <row r="895" spans="2:14">
      <c r="B895" s="40">
        <v>44704</v>
      </c>
      <c r="C895" s="47">
        <v>3973.75</v>
      </c>
      <c r="D895" s="81">
        <f t="shared" si="26"/>
        <v>1.8555067976295359E-2</v>
      </c>
      <c r="E895" s="40">
        <v>44704</v>
      </c>
      <c r="F895" s="24">
        <v>23.620000999999998</v>
      </c>
      <c r="G895" s="81">
        <f t="shared" si="27"/>
        <v>4.6789025946405438E-3</v>
      </c>
      <c r="L895" s="40">
        <v>44704</v>
      </c>
      <c r="M895" s="43">
        <v>1.8555100000000001E-2</v>
      </c>
      <c r="N895" s="1">
        <v>4.6789025946405438E-3</v>
      </c>
    </row>
    <row r="896" spans="2:14">
      <c r="B896" s="40">
        <v>44705</v>
      </c>
      <c r="C896" s="47">
        <v>3941.48</v>
      </c>
      <c r="D896" s="81">
        <f t="shared" si="26"/>
        <v>-8.1207927021075266E-3</v>
      </c>
      <c r="E896" s="40">
        <v>44705</v>
      </c>
      <c r="F896" s="24">
        <v>24.690000999999999</v>
      </c>
      <c r="G896" s="81">
        <f t="shared" si="27"/>
        <v>4.5300590800144258E-2</v>
      </c>
      <c r="L896" s="40">
        <v>44705</v>
      </c>
      <c r="M896" s="43">
        <v>-8.1207999999999992E-3</v>
      </c>
      <c r="N896" s="1">
        <v>4.5300590800144258E-2</v>
      </c>
    </row>
    <row r="897" spans="2:14">
      <c r="B897" s="40">
        <v>44706</v>
      </c>
      <c r="C897" s="47">
        <v>3978.73</v>
      </c>
      <c r="D897" s="81">
        <f t="shared" si="26"/>
        <v>9.4507646873762674E-3</v>
      </c>
      <c r="E897" s="40">
        <v>44706</v>
      </c>
      <c r="F897" s="24">
        <v>25.16</v>
      </c>
      <c r="G897" s="81">
        <f t="shared" si="27"/>
        <v>1.903600570935593E-2</v>
      </c>
      <c r="L897" s="40">
        <v>44706</v>
      </c>
      <c r="M897" s="43">
        <v>9.4508000000000005E-3</v>
      </c>
      <c r="N897" s="1">
        <v>1.903600570935593E-2</v>
      </c>
    </row>
    <row r="898" spans="2:14">
      <c r="B898" s="40">
        <v>44707</v>
      </c>
      <c r="C898" s="47">
        <v>4057.84</v>
      </c>
      <c r="D898" s="81">
        <f t="shared" si="26"/>
        <v>1.988322907058282E-2</v>
      </c>
      <c r="E898" s="40">
        <v>44707</v>
      </c>
      <c r="F898" s="24">
        <v>26.15</v>
      </c>
      <c r="G898" s="81">
        <f t="shared" si="27"/>
        <v>3.9348171701112822E-2</v>
      </c>
      <c r="L898" s="40">
        <v>44707</v>
      </c>
      <c r="M898" s="43">
        <v>1.98832E-2</v>
      </c>
      <c r="N898" s="1">
        <v>3.9348171701112822E-2</v>
      </c>
    </row>
    <row r="899" spans="2:14">
      <c r="B899" s="40">
        <v>44708</v>
      </c>
      <c r="C899" s="47">
        <v>4158.24</v>
      </c>
      <c r="D899" s="81">
        <f t="shared" si="26"/>
        <v>2.4742227391912897E-2</v>
      </c>
      <c r="E899" s="40">
        <v>44708</v>
      </c>
      <c r="F899" s="24">
        <v>26.719999000000001</v>
      </c>
      <c r="G899" s="81">
        <f t="shared" si="27"/>
        <v>2.1797284894837565E-2</v>
      </c>
      <c r="L899" s="40">
        <v>44708</v>
      </c>
      <c r="M899" s="43">
        <v>2.4742199999999999E-2</v>
      </c>
      <c r="N899" s="1">
        <v>2.1797284894837565E-2</v>
      </c>
    </row>
    <row r="900" spans="2:14">
      <c r="B900" s="40">
        <v>44712</v>
      </c>
      <c r="C900" s="47">
        <v>4132.1499999999996</v>
      </c>
      <c r="D900" s="81">
        <f t="shared" si="26"/>
        <v>-6.2742891223209751E-3</v>
      </c>
      <c r="E900" s="40">
        <v>44712</v>
      </c>
      <c r="F900" s="24">
        <v>27.09</v>
      </c>
      <c r="G900" s="81">
        <f t="shared" si="27"/>
        <v>1.3847343332610063E-2</v>
      </c>
      <c r="L900" s="40">
        <v>44712</v>
      </c>
      <c r="M900" s="43">
        <v>-6.2743E-3</v>
      </c>
      <c r="N900" s="1">
        <v>1.3847343332610063E-2</v>
      </c>
    </row>
    <row r="901" spans="2:14">
      <c r="B901" s="40">
        <v>44713</v>
      </c>
      <c r="C901" s="47">
        <v>4101.2299999999996</v>
      </c>
      <c r="D901" s="81">
        <f t="shared" si="26"/>
        <v>-7.4827874109120174E-3</v>
      </c>
      <c r="E901" s="40">
        <v>44713</v>
      </c>
      <c r="F901" s="24">
        <v>26.73</v>
      </c>
      <c r="G901" s="81">
        <f t="shared" si="27"/>
        <v>-1.3289036544850474E-2</v>
      </c>
      <c r="L901" s="40">
        <v>44713</v>
      </c>
      <c r="M901" s="43">
        <v>-7.4828000000000004E-3</v>
      </c>
      <c r="N901" s="1">
        <v>-1.3289036544850474E-2</v>
      </c>
    </row>
    <row r="902" spans="2:14">
      <c r="B902" s="40">
        <v>44714</v>
      </c>
      <c r="C902" s="47">
        <v>4176.82</v>
      </c>
      <c r="D902" s="81">
        <f t="shared" ref="D902:D965" si="28">C902/C901-1</f>
        <v>1.8431056049039052E-2</v>
      </c>
      <c r="E902" s="40">
        <v>44714</v>
      </c>
      <c r="F902" s="24">
        <v>27.219999000000001</v>
      </c>
      <c r="G902" s="81">
        <f t="shared" ref="G902:G965" si="29">F902/F901-1</f>
        <v>1.8331425364758624E-2</v>
      </c>
      <c r="L902" s="40">
        <v>44714</v>
      </c>
      <c r="M902" s="43">
        <v>1.8431099999999999E-2</v>
      </c>
      <c r="N902" s="1">
        <v>1.8331425364758624E-2</v>
      </c>
    </row>
    <row r="903" spans="2:14">
      <c r="B903" s="40">
        <v>44715</v>
      </c>
      <c r="C903" s="47">
        <v>4108.54</v>
      </c>
      <c r="D903" s="81">
        <f t="shared" si="28"/>
        <v>-1.6347364741597592E-2</v>
      </c>
      <c r="E903" s="40">
        <v>44715</v>
      </c>
      <c r="F903" s="24">
        <v>27.370000999999998</v>
      </c>
      <c r="G903" s="81">
        <f t="shared" si="29"/>
        <v>5.5107276087702495E-3</v>
      </c>
      <c r="L903" s="40">
        <v>44715</v>
      </c>
      <c r="M903" s="43">
        <v>-1.6347400000000002E-2</v>
      </c>
      <c r="N903" s="1">
        <v>5.5107276087702495E-3</v>
      </c>
    </row>
    <row r="904" spans="2:14">
      <c r="B904" s="40">
        <v>44718</v>
      </c>
      <c r="C904" s="47">
        <v>4121.43</v>
      </c>
      <c r="D904" s="81">
        <f t="shared" si="28"/>
        <v>3.1373675320187644E-3</v>
      </c>
      <c r="E904" s="40">
        <v>44718</v>
      </c>
      <c r="F904" s="24">
        <v>27.190000999999999</v>
      </c>
      <c r="G904" s="81">
        <f t="shared" si="29"/>
        <v>-6.5765434206597195E-3</v>
      </c>
      <c r="L904" s="40">
        <v>44718</v>
      </c>
      <c r="M904" s="43">
        <v>3.1373999999999998E-3</v>
      </c>
      <c r="N904" s="1">
        <v>-6.5765434206597195E-3</v>
      </c>
    </row>
    <row r="905" spans="2:14">
      <c r="B905" s="40">
        <v>44719</v>
      </c>
      <c r="C905" s="47">
        <v>4160.68</v>
      </c>
      <c r="D905" s="81">
        <f t="shared" si="28"/>
        <v>9.5233935794130087E-3</v>
      </c>
      <c r="E905" s="40">
        <v>44719</v>
      </c>
      <c r="F905" s="24">
        <v>27.01</v>
      </c>
      <c r="G905" s="81">
        <f t="shared" si="29"/>
        <v>-6.6201174468510926E-3</v>
      </c>
      <c r="L905" s="40">
        <v>44719</v>
      </c>
      <c r="M905" s="43">
        <v>9.5233999999999996E-3</v>
      </c>
      <c r="N905" s="1">
        <v>-6.6201174468510926E-3</v>
      </c>
    </row>
    <row r="906" spans="2:14">
      <c r="B906" s="40">
        <v>44720</v>
      </c>
      <c r="C906" s="47">
        <v>4115.7700000000004</v>
      </c>
      <c r="D906" s="81">
        <f t="shared" si="28"/>
        <v>-1.0793908688002896E-2</v>
      </c>
      <c r="E906" s="40">
        <v>44720</v>
      </c>
      <c r="F906" s="24">
        <v>25.809999000000001</v>
      </c>
      <c r="G906" s="81">
        <f t="shared" si="29"/>
        <v>-4.4428026656793795E-2</v>
      </c>
      <c r="L906" s="40">
        <v>44720</v>
      </c>
      <c r="M906" s="43">
        <v>-1.07939E-2</v>
      </c>
      <c r="N906" s="1">
        <v>-4.4428026656793795E-2</v>
      </c>
    </row>
    <row r="907" spans="2:14">
      <c r="B907" s="40">
        <v>44721</v>
      </c>
      <c r="C907" s="47">
        <v>4017.82</v>
      </c>
      <c r="D907" s="81">
        <f t="shared" si="28"/>
        <v>-2.3798705952956634E-2</v>
      </c>
      <c r="E907" s="40">
        <v>44721</v>
      </c>
      <c r="F907" s="24">
        <v>25.26</v>
      </c>
      <c r="G907" s="81">
        <f t="shared" si="29"/>
        <v>-2.1309532015092225E-2</v>
      </c>
      <c r="L907" s="40">
        <v>44721</v>
      </c>
      <c r="M907" s="43">
        <v>-2.3798699999999999E-2</v>
      </c>
      <c r="N907" s="1">
        <v>-2.1309532015092225E-2</v>
      </c>
    </row>
    <row r="908" spans="2:14">
      <c r="B908" s="40">
        <v>44722</v>
      </c>
      <c r="C908" s="47">
        <v>3900.86</v>
      </c>
      <c r="D908" s="81">
        <f t="shared" si="28"/>
        <v>-2.9110313553120881E-2</v>
      </c>
      <c r="E908" s="40">
        <v>44722</v>
      </c>
      <c r="F908" s="24">
        <v>25.139999</v>
      </c>
      <c r="G908" s="81">
        <f t="shared" si="29"/>
        <v>-4.7506334125100302E-3</v>
      </c>
      <c r="L908" s="40">
        <v>44722</v>
      </c>
      <c r="M908" s="43">
        <v>-2.9110299999999999E-2</v>
      </c>
      <c r="N908" s="1">
        <v>-4.7506334125100302E-3</v>
      </c>
    </row>
    <row r="909" spans="2:14">
      <c r="B909" s="40">
        <v>44725</v>
      </c>
      <c r="C909" s="47">
        <v>3749.63</v>
      </c>
      <c r="D909" s="81">
        <f t="shared" si="28"/>
        <v>-3.8768374153391849E-2</v>
      </c>
      <c r="E909" s="40">
        <v>44725</v>
      </c>
      <c r="F909" s="24">
        <v>25.129999000000002</v>
      </c>
      <c r="G909" s="81">
        <f t="shared" si="29"/>
        <v>-3.9777248996697434E-4</v>
      </c>
      <c r="L909" s="40">
        <v>44725</v>
      </c>
      <c r="M909" s="43">
        <v>-3.8768400000000001E-2</v>
      </c>
      <c r="N909" s="1">
        <v>-3.9777248996697434E-4</v>
      </c>
    </row>
    <row r="910" spans="2:14">
      <c r="B910" s="40">
        <v>44726</v>
      </c>
      <c r="C910" s="47">
        <v>3735.48</v>
      </c>
      <c r="D910" s="81">
        <f t="shared" si="28"/>
        <v>-3.7737056722930706E-3</v>
      </c>
      <c r="E910" s="40">
        <v>44726</v>
      </c>
      <c r="F910" s="24">
        <v>25.370000999999998</v>
      </c>
      <c r="G910" s="81">
        <f t="shared" si="29"/>
        <v>9.5504182073384847E-3</v>
      </c>
      <c r="L910" s="40">
        <v>44726</v>
      </c>
      <c r="M910" s="43">
        <v>-3.7737000000000001E-3</v>
      </c>
      <c r="N910" s="1">
        <v>9.5504182073384847E-3</v>
      </c>
    </row>
    <row r="911" spans="2:14">
      <c r="B911" s="40">
        <v>44727</v>
      </c>
      <c r="C911" s="47">
        <v>3789.99</v>
      </c>
      <c r="D911" s="81">
        <f t="shared" si="28"/>
        <v>1.4592502168395916E-2</v>
      </c>
      <c r="E911" s="40">
        <v>44727</v>
      </c>
      <c r="F911" s="24">
        <v>26.42</v>
      </c>
      <c r="G911" s="81">
        <f t="shared" si="29"/>
        <v>4.1387424462458799E-2</v>
      </c>
      <c r="L911" s="40">
        <v>44727</v>
      </c>
      <c r="M911" s="43">
        <v>1.45925E-2</v>
      </c>
      <c r="N911" s="1">
        <v>4.1387424462458799E-2</v>
      </c>
    </row>
    <row r="912" spans="2:14">
      <c r="B912" s="40">
        <v>44728</v>
      </c>
      <c r="C912" s="47">
        <v>3666.77</v>
      </c>
      <c r="D912" s="81">
        <f t="shared" si="28"/>
        <v>-3.2511959134456814E-2</v>
      </c>
      <c r="E912" s="40">
        <v>44728</v>
      </c>
      <c r="F912" s="24">
        <v>26.450001</v>
      </c>
      <c r="G912" s="81">
        <f t="shared" si="29"/>
        <v>1.1355412566236289E-3</v>
      </c>
      <c r="L912" s="40">
        <v>44728</v>
      </c>
      <c r="M912" s="43">
        <v>-3.2511999999999999E-2</v>
      </c>
      <c r="N912" s="1">
        <v>1.1355412566236289E-3</v>
      </c>
    </row>
    <row r="913" spans="2:14">
      <c r="B913" s="40">
        <v>44729</v>
      </c>
      <c r="C913" s="47">
        <v>3674.84</v>
      </c>
      <c r="D913" s="81">
        <f t="shared" si="28"/>
        <v>2.2008470670371594E-3</v>
      </c>
      <c r="E913" s="40">
        <v>44729</v>
      </c>
      <c r="F913" s="24">
        <v>24.940000999999999</v>
      </c>
      <c r="G913" s="81">
        <f t="shared" si="29"/>
        <v>-5.7088844722539056E-2</v>
      </c>
      <c r="L913" s="40">
        <v>44729</v>
      </c>
      <c r="M913" s="43">
        <v>2.2008000000000002E-3</v>
      </c>
      <c r="N913" s="1">
        <v>-5.7088844722539056E-2</v>
      </c>
    </row>
    <row r="914" spans="2:14">
      <c r="B914" s="40">
        <v>44733</v>
      </c>
      <c r="C914" s="47">
        <v>3764.79</v>
      </c>
      <c r="D914" s="81">
        <f t="shared" si="28"/>
        <v>2.447725615264873E-2</v>
      </c>
      <c r="E914" s="40">
        <v>44733</v>
      </c>
      <c r="F914" s="24">
        <v>25.969999000000001</v>
      </c>
      <c r="G914" s="81">
        <f t="shared" si="29"/>
        <v>4.1299036034521563E-2</v>
      </c>
      <c r="L914" s="40">
        <v>44733</v>
      </c>
      <c r="M914" s="43">
        <v>2.44773E-2</v>
      </c>
      <c r="N914" s="1">
        <v>4.1299036034521563E-2</v>
      </c>
    </row>
    <row r="915" spans="2:14">
      <c r="B915" s="40">
        <v>44734</v>
      </c>
      <c r="C915" s="47">
        <v>3759.89</v>
      </c>
      <c r="D915" s="81">
        <f t="shared" si="28"/>
        <v>-1.3015334188627437E-3</v>
      </c>
      <c r="E915" s="40">
        <v>44734</v>
      </c>
      <c r="F915" s="24">
        <v>25.43</v>
      </c>
      <c r="G915" s="81">
        <f t="shared" si="29"/>
        <v>-2.0793185244250556E-2</v>
      </c>
      <c r="L915" s="40">
        <v>44734</v>
      </c>
      <c r="M915" s="43">
        <v>-1.3014999999999999E-3</v>
      </c>
      <c r="N915" s="1">
        <v>-2.0793185244250556E-2</v>
      </c>
    </row>
    <row r="916" spans="2:14">
      <c r="B916" s="40">
        <v>44735</v>
      </c>
      <c r="C916" s="47">
        <v>3795.73</v>
      </c>
      <c r="D916" s="81">
        <f t="shared" si="28"/>
        <v>9.5321937609877949E-3</v>
      </c>
      <c r="E916" s="40">
        <v>44735</v>
      </c>
      <c r="F916" s="24">
        <v>25.17</v>
      </c>
      <c r="G916" s="81">
        <f t="shared" si="29"/>
        <v>-1.0224144710971217E-2</v>
      </c>
      <c r="L916" s="40">
        <v>44735</v>
      </c>
      <c r="M916" s="43">
        <v>9.5321999999999994E-3</v>
      </c>
      <c r="N916" s="1">
        <v>-1.0224144710971217E-2</v>
      </c>
    </row>
    <row r="917" spans="2:14">
      <c r="B917" s="40">
        <v>44736</v>
      </c>
      <c r="C917" s="47">
        <v>3911.74</v>
      </c>
      <c r="D917" s="81">
        <f t="shared" si="28"/>
        <v>3.0563290855777359E-2</v>
      </c>
      <c r="E917" s="40">
        <v>44736</v>
      </c>
      <c r="F917" s="24">
        <v>25.74</v>
      </c>
      <c r="G917" s="81">
        <f t="shared" si="29"/>
        <v>2.2646007151370551E-2</v>
      </c>
      <c r="L917" s="40">
        <v>44736</v>
      </c>
      <c r="M917" s="43">
        <v>3.0563300000000002E-2</v>
      </c>
      <c r="N917" s="1">
        <v>2.2646007151370551E-2</v>
      </c>
    </row>
    <row r="918" spans="2:14">
      <c r="B918" s="40">
        <v>44739</v>
      </c>
      <c r="C918" s="47">
        <v>3900.11</v>
      </c>
      <c r="D918" s="81">
        <f t="shared" si="28"/>
        <v>-2.973101484249896E-3</v>
      </c>
      <c r="E918" s="40">
        <v>44739</v>
      </c>
      <c r="F918" s="24">
        <v>25.860001</v>
      </c>
      <c r="G918" s="81">
        <f t="shared" si="29"/>
        <v>4.6620435120436898E-3</v>
      </c>
      <c r="L918" s="40">
        <v>44739</v>
      </c>
      <c r="M918" s="43">
        <v>-2.9730999999999998E-3</v>
      </c>
      <c r="N918" s="1">
        <v>4.6620435120436898E-3</v>
      </c>
    </row>
    <row r="919" spans="2:14">
      <c r="B919" s="40">
        <v>44740</v>
      </c>
      <c r="C919" s="47">
        <v>3821.55</v>
      </c>
      <c r="D919" s="81">
        <f t="shared" si="28"/>
        <v>-2.0143021607082812E-2</v>
      </c>
      <c r="E919" s="40">
        <v>44740</v>
      </c>
      <c r="F919" s="24">
        <v>25.459999</v>
      </c>
      <c r="G919" s="81">
        <f t="shared" si="29"/>
        <v>-1.5467980840372042E-2</v>
      </c>
      <c r="L919" s="40">
        <v>44740</v>
      </c>
      <c r="M919" s="43">
        <v>-2.0143000000000001E-2</v>
      </c>
      <c r="N919" s="1">
        <v>-1.5467980840372042E-2</v>
      </c>
    </row>
    <row r="920" spans="2:14">
      <c r="B920" s="40">
        <v>44741</v>
      </c>
      <c r="C920" s="47">
        <v>3818.83</v>
      </c>
      <c r="D920" s="81">
        <f t="shared" si="28"/>
        <v>-7.1175308448145902E-4</v>
      </c>
      <c r="E920" s="40">
        <v>44741</v>
      </c>
      <c r="F920" s="24">
        <v>25.620000999999998</v>
      </c>
      <c r="G920" s="81">
        <f t="shared" si="29"/>
        <v>6.2844464369380404E-3</v>
      </c>
      <c r="L920" s="40">
        <v>44741</v>
      </c>
      <c r="M920" s="43">
        <v>-7.1179999999999995E-4</v>
      </c>
      <c r="N920" s="1">
        <v>6.2844464369380404E-3</v>
      </c>
    </row>
    <row r="921" spans="2:14">
      <c r="B921" s="40">
        <v>44742</v>
      </c>
      <c r="C921" s="47">
        <v>3785.38</v>
      </c>
      <c r="D921" s="81">
        <f t="shared" si="28"/>
        <v>-8.7592273026031453E-3</v>
      </c>
      <c r="E921" s="40">
        <v>44742</v>
      </c>
      <c r="F921" s="24">
        <v>25.32</v>
      </c>
      <c r="G921" s="81">
        <f t="shared" si="29"/>
        <v>-1.1709640448491765E-2</v>
      </c>
      <c r="L921" s="40">
        <v>44742</v>
      </c>
      <c r="M921" s="43">
        <v>-8.7592E-3</v>
      </c>
      <c r="N921" s="1">
        <v>-1.1709640448491765E-2</v>
      </c>
    </row>
    <row r="922" spans="2:14">
      <c r="B922" s="40">
        <v>44743</v>
      </c>
      <c r="C922" s="47">
        <v>3825.33</v>
      </c>
      <c r="D922" s="81">
        <f t="shared" si="28"/>
        <v>1.0553762105785847E-2</v>
      </c>
      <c r="E922" s="40">
        <v>44743</v>
      </c>
      <c r="F922" s="24">
        <v>25.719999000000001</v>
      </c>
      <c r="G922" s="81">
        <f t="shared" si="29"/>
        <v>1.5797748815165935E-2</v>
      </c>
      <c r="L922" s="40">
        <v>44743</v>
      </c>
      <c r="M922" s="43">
        <v>1.05538E-2</v>
      </c>
      <c r="N922" s="1">
        <v>1.5797748815165935E-2</v>
      </c>
    </row>
    <row r="923" spans="2:14">
      <c r="B923" s="40">
        <v>44747</v>
      </c>
      <c r="C923" s="47">
        <v>3831.39</v>
      </c>
      <c r="D923" s="81">
        <f t="shared" si="28"/>
        <v>1.5841770513915776E-3</v>
      </c>
      <c r="E923" s="40">
        <v>44747</v>
      </c>
      <c r="F923" s="24">
        <v>25.42</v>
      </c>
      <c r="G923" s="81">
        <f t="shared" si="29"/>
        <v>-1.1664036223329566E-2</v>
      </c>
      <c r="L923" s="40">
        <v>44747</v>
      </c>
      <c r="M923" s="43">
        <v>1.5842E-3</v>
      </c>
      <c r="N923" s="1">
        <v>-1.1664036223329566E-2</v>
      </c>
    </row>
    <row r="924" spans="2:14">
      <c r="B924" s="40">
        <v>44748</v>
      </c>
      <c r="C924" s="47">
        <v>3845.08</v>
      </c>
      <c r="D924" s="81">
        <f t="shared" si="28"/>
        <v>3.5731157621645693E-3</v>
      </c>
      <c r="E924" s="40">
        <v>44748</v>
      </c>
      <c r="F924" s="24">
        <v>26.139999</v>
      </c>
      <c r="G924" s="81">
        <f t="shared" si="29"/>
        <v>2.8324114870180939E-2</v>
      </c>
      <c r="L924" s="40">
        <v>44748</v>
      </c>
      <c r="M924" s="43">
        <v>3.5731000000000001E-3</v>
      </c>
      <c r="N924" s="1">
        <v>2.8324114870180939E-2</v>
      </c>
    </row>
    <row r="925" spans="2:14">
      <c r="B925" s="40">
        <v>44749</v>
      </c>
      <c r="C925" s="47">
        <v>3902.62</v>
      </c>
      <c r="D925" s="81">
        <f t="shared" si="28"/>
        <v>1.4964578110208349E-2</v>
      </c>
      <c r="E925" s="40">
        <v>44749</v>
      </c>
      <c r="F925" s="24">
        <v>27.09</v>
      </c>
      <c r="G925" s="81">
        <f t="shared" si="29"/>
        <v>3.6342809347467808E-2</v>
      </c>
      <c r="L925" s="40">
        <v>44749</v>
      </c>
      <c r="M925" s="43">
        <v>1.49646E-2</v>
      </c>
      <c r="N925" s="1">
        <v>3.6342809347467808E-2</v>
      </c>
    </row>
    <row r="926" spans="2:14">
      <c r="B926" s="40">
        <v>44750</v>
      </c>
      <c r="C926" s="47">
        <v>3899.38</v>
      </c>
      <c r="D926" s="81">
        <f t="shared" si="28"/>
        <v>-8.3021149894169088E-4</v>
      </c>
      <c r="E926" s="40">
        <v>44750</v>
      </c>
      <c r="F926" s="24">
        <v>26.93</v>
      </c>
      <c r="G926" s="81">
        <f t="shared" si="29"/>
        <v>-5.9062384643779886E-3</v>
      </c>
      <c r="L926" s="40">
        <v>44750</v>
      </c>
      <c r="M926" s="43">
        <v>-8.3020000000000001E-4</v>
      </c>
      <c r="N926" s="1">
        <v>-5.9062384643779886E-3</v>
      </c>
    </row>
    <row r="927" spans="2:14">
      <c r="B927" s="40">
        <v>44753</v>
      </c>
      <c r="C927" s="47">
        <v>3854.43</v>
      </c>
      <c r="D927" s="81">
        <f t="shared" si="28"/>
        <v>-1.1527473598367033E-2</v>
      </c>
      <c r="E927" s="40">
        <v>44753</v>
      </c>
      <c r="F927" s="24">
        <v>26.51</v>
      </c>
      <c r="G927" s="81">
        <f t="shared" si="29"/>
        <v>-1.5595989602673499E-2</v>
      </c>
      <c r="L927" s="40">
        <v>44753</v>
      </c>
      <c r="M927" s="43">
        <v>-1.15275E-2</v>
      </c>
      <c r="N927" s="1">
        <v>-1.5595989602673499E-2</v>
      </c>
    </row>
    <row r="928" spans="2:14">
      <c r="B928" s="40">
        <v>44754</v>
      </c>
      <c r="C928" s="47">
        <v>3818.8</v>
      </c>
      <c r="D928" s="81">
        <f t="shared" si="28"/>
        <v>-9.2439089567069033E-3</v>
      </c>
      <c r="E928" s="40">
        <v>44754</v>
      </c>
      <c r="F928" s="24">
        <v>26.530000999999999</v>
      </c>
      <c r="G928" s="81">
        <f t="shared" si="29"/>
        <v>7.5447001131645486E-4</v>
      </c>
      <c r="L928" s="40">
        <v>44754</v>
      </c>
      <c r="M928" s="43">
        <v>-9.2438999999999993E-3</v>
      </c>
      <c r="N928" s="1">
        <v>7.5447001131645486E-4</v>
      </c>
    </row>
    <row r="929" spans="2:14">
      <c r="B929" s="40">
        <v>44755</v>
      </c>
      <c r="C929" s="47">
        <v>3801.78</v>
      </c>
      <c r="D929" s="81">
        <f t="shared" si="28"/>
        <v>-4.4568974546977946E-3</v>
      </c>
      <c r="E929" s="40">
        <v>44755</v>
      </c>
      <c r="F929" s="24">
        <v>26.92</v>
      </c>
      <c r="G929" s="81">
        <f t="shared" si="29"/>
        <v>1.4700300991319359E-2</v>
      </c>
      <c r="L929" s="40">
        <v>44755</v>
      </c>
      <c r="M929" s="43">
        <v>-4.4568999999999998E-3</v>
      </c>
      <c r="N929" s="1">
        <v>1.4700300991319359E-2</v>
      </c>
    </row>
    <row r="930" spans="2:14">
      <c r="B930" s="40">
        <v>44756</v>
      </c>
      <c r="C930" s="47">
        <v>3790.38</v>
      </c>
      <c r="D930" s="81">
        <f t="shared" si="28"/>
        <v>-2.99859539478875E-3</v>
      </c>
      <c r="E930" s="40">
        <v>44756</v>
      </c>
      <c r="F930" s="24">
        <v>26.76</v>
      </c>
      <c r="G930" s="81">
        <f t="shared" si="29"/>
        <v>-5.9435364041604544E-3</v>
      </c>
      <c r="L930" s="40">
        <v>44756</v>
      </c>
      <c r="M930" s="43">
        <v>-2.9986000000000001E-3</v>
      </c>
      <c r="N930" s="1">
        <v>-5.9435364041604544E-3</v>
      </c>
    </row>
    <row r="931" spans="2:14">
      <c r="B931" s="40">
        <v>44757</v>
      </c>
      <c r="C931" s="47">
        <v>3863.16</v>
      </c>
      <c r="D931" s="81">
        <f t="shared" si="28"/>
        <v>1.9201241036518768E-2</v>
      </c>
      <c r="E931" s="40">
        <v>44757</v>
      </c>
      <c r="F931" s="24">
        <v>27.440000999999999</v>
      </c>
      <c r="G931" s="81">
        <f t="shared" si="29"/>
        <v>2.5411098654708475E-2</v>
      </c>
      <c r="L931" s="40">
        <v>44757</v>
      </c>
      <c r="M931" s="43">
        <v>1.9201200000000002E-2</v>
      </c>
      <c r="N931" s="1">
        <v>2.5411098654708475E-2</v>
      </c>
    </row>
    <row r="932" spans="2:14">
      <c r="B932" s="40">
        <v>44760</v>
      </c>
      <c r="C932" s="47">
        <v>3830.85</v>
      </c>
      <c r="D932" s="81">
        <f t="shared" si="28"/>
        <v>-8.3636194203708936E-3</v>
      </c>
      <c r="E932" s="40">
        <v>44760</v>
      </c>
      <c r="F932" s="24">
        <v>27.209999</v>
      </c>
      <c r="G932" s="81">
        <f t="shared" si="29"/>
        <v>-8.3819967790816907E-3</v>
      </c>
      <c r="L932" s="40">
        <v>44760</v>
      </c>
      <c r="M932" s="43">
        <v>-8.3636000000000005E-3</v>
      </c>
      <c r="N932" s="1">
        <v>-8.3819967790816907E-3</v>
      </c>
    </row>
    <row r="933" spans="2:14">
      <c r="B933" s="40">
        <v>44761</v>
      </c>
      <c r="C933" s="47">
        <v>3936.69</v>
      </c>
      <c r="D933" s="81">
        <f t="shared" si="28"/>
        <v>2.7628333137554417E-2</v>
      </c>
      <c r="E933" s="40">
        <v>44761</v>
      </c>
      <c r="F933" s="24">
        <v>27.190000999999999</v>
      </c>
      <c r="G933" s="81">
        <f t="shared" si="29"/>
        <v>-7.3495041289783902E-4</v>
      </c>
      <c r="L933" s="40">
        <v>44761</v>
      </c>
      <c r="M933" s="43">
        <v>2.7628300000000001E-2</v>
      </c>
      <c r="N933" s="1">
        <v>-7.3495041289783902E-4</v>
      </c>
    </row>
    <row r="934" spans="2:14">
      <c r="B934" s="40">
        <v>44762</v>
      </c>
      <c r="C934" s="47">
        <v>3959.9</v>
      </c>
      <c r="D934" s="81">
        <f t="shared" si="28"/>
        <v>5.8958160281861183E-3</v>
      </c>
      <c r="E934" s="40">
        <v>44762</v>
      </c>
      <c r="F934" s="24">
        <v>27.18</v>
      </c>
      <c r="G934" s="81">
        <f t="shared" si="29"/>
        <v>-3.6781903759397494E-4</v>
      </c>
      <c r="L934" s="40">
        <v>44762</v>
      </c>
      <c r="M934" s="43">
        <v>5.8957999999999997E-3</v>
      </c>
      <c r="N934" s="1">
        <v>-3.6781903759397494E-4</v>
      </c>
    </row>
    <row r="935" spans="2:14">
      <c r="B935" s="40">
        <v>44763</v>
      </c>
      <c r="C935" s="47">
        <v>3998.95</v>
      </c>
      <c r="D935" s="81">
        <f t="shared" si="28"/>
        <v>9.8613601353569891E-3</v>
      </c>
      <c r="E935" s="40">
        <v>44763</v>
      </c>
      <c r="F935" s="24">
        <v>27.07</v>
      </c>
      <c r="G935" s="81">
        <f t="shared" si="29"/>
        <v>-4.0470934510669077E-3</v>
      </c>
      <c r="L935" s="40">
        <v>44763</v>
      </c>
      <c r="M935" s="43">
        <v>9.8613999999999993E-3</v>
      </c>
      <c r="N935" s="1">
        <v>-4.0470934510669077E-3</v>
      </c>
    </row>
    <row r="936" spans="2:14">
      <c r="B936" s="40">
        <v>44764</v>
      </c>
      <c r="C936" s="47">
        <v>3961.63</v>
      </c>
      <c r="D936" s="81">
        <f t="shared" si="28"/>
        <v>-9.3324497680640217E-3</v>
      </c>
      <c r="E936" s="40">
        <v>44764</v>
      </c>
      <c r="F936" s="24">
        <v>27.610001</v>
      </c>
      <c r="G936" s="81">
        <f t="shared" si="29"/>
        <v>1.9948319172515605E-2</v>
      </c>
      <c r="L936" s="40">
        <v>44764</v>
      </c>
      <c r="M936" s="43">
        <v>-9.3323999999999994E-3</v>
      </c>
      <c r="N936" s="1">
        <v>1.9948319172515605E-2</v>
      </c>
    </row>
    <row r="937" spans="2:14">
      <c r="B937" s="40">
        <v>44767</v>
      </c>
      <c r="C937" s="47">
        <v>3966.84</v>
      </c>
      <c r="D937" s="81">
        <f t="shared" si="28"/>
        <v>1.3151152429682345E-3</v>
      </c>
      <c r="E937" s="40">
        <v>44767</v>
      </c>
      <c r="F937" s="24">
        <v>27.299999</v>
      </c>
      <c r="G937" s="81">
        <f t="shared" si="29"/>
        <v>-1.122788803955499E-2</v>
      </c>
      <c r="L937" s="40">
        <v>44767</v>
      </c>
      <c r="M937" s="43">
        <v>1.3151E-3</v>
      </c>
      <c r="N937" s="1">
        <v>-1.122788803955499E-2</v>
      </c>
    </row>
    <row r="938" spans="2:14">
      <c r="B938" s="40">
        <v>44768</v>
      </c>
      <c r="C938" s="47">
        <v>3921.05</v>
      </c>
      <c r="D938" s="81">
        <f t="shared" si="28"/>
        <v>-1.1543193070554847E-2</v>
      </c>
      <c r="E938" s="40">
        <v>44768</v>
      </c>
      <c r="F938" s="24">
        <v>26.959999</v>
      </c>
      <c r="G938" s="81">
        <f t="shared" si="29"/>
        <v>-1.2454212910410711E-2</v>
      </c>
      <c r="L938" s="40">
        <v>44768</v>
      </c>
      <c r="M938" s="43">
        <v>-1.15432E-2</v>
      </c>
      <c r="N938" s="1">
        <v>-1.2454212910410711E-2</v>
      </c>
    </row>
    <row r="939" spans="2:14">
      <c r="B939" s="40">
        <v>44769</v>
      </c>
      <c r="C939" s="47">
        <v>4023.61</v>
      </c>
      <c r="D939" s="81">
        <f t="shared" si="28"/>
        <v>2.6156259165274642E-2</v>
      </c>
      <c r="E939" s="40">
        <v>44769</v>
      </c>
      <c r="F939" s="24">
        <v>27.35</v>
      </c>
      <c r="G939" s="81">
        <f t="shared" si="29"/>
        <v>1.4465912999477526E-2</v>
      </c>
      <c r="L939" s="40">
        <v>44769</v>
      </c>
      <c r="M939" s="43">
        <v>2.61563E-2</v>
      </c>
      <c r="N939" s="1">
        <v>1.4465912999477526E-2</v>
      </c>
    </row>
    <row r="940" spans="2:14">
      <c r="B940" s="40">
        <v>44770</v>
      </c>
      <c r="C940" s="47">
        <v>4072.43</v>
      </c>
      <c r="D940" s="81">
        <f t="shared" si="28"/>
        <v>1.2133382708562568E-2</v>
      </c>
      <c r="E940" s="40">
        <v>44770</v>
      </c>
      <c r="F940" s="24">
        <v>27.459999</v>
      </c>
      <c r="G940" s="81">
        <f t="shared" si="29"/>
        <v>4.0219012797073628E-3</v>
      </c>
      <c r="L940" s="40">
        <v>44770</v>
      </c>
      <c r="M940" s="43">
        <v>1.2133400000000001E-2</v>
      </c>
      <c r="N940" s="1">
        <v>4.0219012797073628E-3</v>
      </c>
    </row>
    <row r="941" spans="2:14">
      <c r="B941" s="40">
        <v>44771</v>
      </c>
      <c r="C941" s="47">
        <v>4130.29</v>
      </c>
      <c r="D941" s="81">
        <f t="shared" si="28"/>
        <v>1.4207733466259809E-2</v>
      </c>
      <c r="E941" s="40">
        <v>44771</v>
      </c>
      <c r="F941" s="24">
        <v>27.639999</v>
      </c>
      <c r="G941" s="81">
        <f t="shared" si="29"/>
        <v>6.5549893137286652E-3</v>
      </c>
      <c r="L941" s="40">
        <v>44771</v>
      </c>
      <c r="M941" s="43">
        <v>1.42077E-2</v>
      </c>
      <c r="N941" s="1">
        <v>6.5549893137286652E-3</v>
      </c>
    </row>
    <row r="942" spans="2:14">
      <c r="B942" s="40">
        <v>44774</v>
      </c>
      <c r="C942" s="47">
        <v>4118.63</v>
      </c>
      <c r="D942" s="81">
        <f t="shared" si="28"/>
        <v>-2.8230463236237346E-3</v>
      </c>
      <c r="E942" s="40">
        <v>44774</v>
      </c>
      <c r="F942" s="24">
        <v>27.549999</v>
      </c>
      <c r="G942" s="81">
        <f t="shared" si="29"/>
        <v>-3.2561506243180549E-3</v>
      </c>
      <c r="L942" s="40">
        <v>44774</v>
      </c>
      <c r="M942" s="43">
        <v>-2.823E-3</v>
      </c>
      <c r="N942" s="1">
        <v>-3.2561506243180549E-3</v>
      </c>
    </row>
    <row r="943" spans="2:14">
      <c r="B943" s="40">
        <v>44775</v>
      </c>
      <c r="C943" s="47">
        <v>4091.19</v>
      </c>
      <c r="D943" s="81">
        <f t="shared" si="28"/>
        <v>-6.6624095876541833E-3</v>
      </c>
      <c r="E943" s="40">
        <v>44775</v>
      </c>
      <c r="F943" s="24">
        <v>27</v>
      </c>
      <c r="G943" s="81">
        <f t="shared" si="29"/>
        <v>-1.9963666786339984E-2</v>
      </c>
      <c r="L943" s="40">
        <v>44775</v>
      </c>
      <c r="M943" s="43">
        <v>-6.6623999999999997E-3</v>
      </c>
      <c r="N943" s="1">
        <v>-1.9963666786339984E-2</v>
      </c>
    </row>
    <row r="944" spans="2:14">
      <c r="B944" s="40">
        <v>44776</v>
      </c>
      <c r="C944" s="47">
        <v>4155.17</v>
      </c>
      <c r="D944" s="81">
        <f t="shared" si="28"/>
        <v>1.5638481713144525E-2</v>
      </c>
      <c r="E944" s="40">
        <v>44776</v>
      </c>
      <c r="F944" s="24">
        <v>27.17</v>
      </c>
      <c r="G944" s="81">
        <f t="shared" si="29"/>
        <v>6.2962962962964664E-3</v>
      </c>
      <c r="L944" s="40">
        <v>44776</v>
      </c>
      <c r="M944" s="43">
        <v>1.56385E-2</v>
      </c>
      <c r="N944" s="1">
        <v>6.2962962962964664E-3</v>
      </c>
    </row>
    <row r="945" spans="2:14">
      <c r="B945" s="40">
        <v>44777</v>
      </c>
      <c r="C945" s="47">
        <v>4151.9399999999996</v>
      </c>
      <c r="D945" s="81">
        <f t="shared" si="28"/>
        <v>-7.7734484990998887E-4</v>
      </c>
      <c r="E945" s="40">
        <v>44777</v>
      </c>
      <c r="F945" s="24">
        <v>30.83</v>
      </c>
      <c r="G945" s="81">
        <f t="shared" si="29"/>
        <v>0.1347073978652924</v>
      </c>
      <c r="L945" s="40">
        <v>44777</v>
      </c>
      <c r="M945" s="43">
        <v>-7.7729999999999997E-4</v>
      </c>
      <c r="N945" s="1">
        <v>0.1347073978652924</v>
      </c>
    </row>
    <row r="946" spans="2:14">
      <c r="B946" s="40">
        <v>44778</v>
      </c>
      <c r="C946" s="47">
        <v>4145.1899999999996</v>
      </c>
      <c r="D946" s="81">
        <f t="shared" si="28"/>
        <v>-1.6257460367924415E-3</v>
      </c>
      <c r="E946" s="40">
        <v>44778</v>
      </c>
      <c r="F946" s="24">
        <v>30.280000999999999</v>
      </c>
      <c r="G946" s="81">
        <f t="shared" si="29"/>
        <v>-1.7839734025300036E-2</v>
      </c>
      <c r="L946" s="40">
        <v>44778</v>
      </c>
      <c r="M946" s="43">
        <v>-1.6257000000000001E-3</v>
      </c>
      <c r="N946" s="1">
        <v>-1.7839734025300036E-2</v>
      </c>
    </row>
    <row r="947" spans="2:14">
      <c r="B947" s="40">
        <v>44781</v>
      </c>
      <c r="C947" s="47">
        <v>4140.0600000000004</v>
      </c>
      <c r="D947" s="81">
        <f t="shared" si="28"/>
        <v>-1.2375789770792123E-3</v>
      </c>
      <c r="E947" s="40">
        <v>44781</v>
      </c>
      <c r="F947" s="24">
        <v>30.07</v>
      </c>
      <c r="G947" s="81">
        <f t="shared" si="29"/>
        <v>-6.9353036018723335E-3</v>
      </c>
      <c r="L947" s="40">
        <v>44781</v>
      </c>
      <c r="M947" s="43">
        <v>-1.2375999999999999E-3</v>
      </c>
      <c r="N947" s="1">
        <v>-6.9353036018723335E-3</v>
      </c>
    </row>
    <row r="948" spans="2:14">
      <c r="B948" s="40">
        <v>44782</v>
      </c>
      <c r="C948" s="47">
        <v>4122.47</v>
      </c>
      <c r="D948" s="81">
        <f t="shared" si="28"/>
        <v>-4.248730694724312E-3</v>
      </c>
      <c r="E948" s="40">
        <v>44782</v>
      </c>
      <c r="F948" s="24">
        <v>29.82</v>
      </c>
      <c r="G948" s="81">
        <f t="shared" si="29"/>
        <v>-8.3139341536414557E-3</v>
      </c>
      <c r="L948" s="40">
        <v>44782</v>
      </c>
      <c r="M948" s="43">
        <v>-4.2487000000000002E-3</v>
      </c>
      <c r="N948" s="1">
        <v>-8.3139341536414557E-3</v>
      </c>
    </row>
    <row r="949" spans="2:14">
      <c r="B949" s="40">
        <v>44783</v>
      </c>
      <c r="C949" s="47">
        <v>4210.24</v>
      </c>
      <c r="D949" s="81">
        <f t="shared" si="28"/>
        <v>2.1290634013103604E-2</v>
      </c>
      <c r="E949" s="40">
        <v>44783</v>
      </c>
      <c r="F949" s="24">
        <v>30.120000999999998</v>
      </c>
      <c r="G949" s="81">
        <f t="shared" si="29"/>
        <v>1.0060395707578662E-2</v>
      </c>
      <c r="L949" s="40">
        <v>44783</v>
      </c>
      <c r="M949" s="43">
        <v>2.12906E-2</v>
      </c>
      <c r="N949" s="1">
        <v>1.0060395707578662E-2</v>
      </c>
    </row>
    <row r="950" spans="2:14">
      <c r="B950" s="40">
        <v>44784</v>
      </c>
      <c r="C950" s="47">
        <v>4207.2700000000004</v>
      </c>
      <c r="D950" s="81">
        <f t="shared" si="28"/>
        <v>-7.0542296876174859E-4</v>
      </c>
      <c r="E950" s="40">
        <v>44784</v>
      </c>
      <c r="F950" s="24">
        <v>29.1</v>
      </c>
      <c r="G950" s="81">
        <f t="shared" si="29"/>
        <v>-3.3864573908878537E-2</v>
      </c>
      <c r="L950" s="40">
        <v>44784</v>
      </c>
      <c r="M950" s="43">
        <v>-7.0540000000000002E-4</v>
      </c>
      <c r="N950" s="1">
        <v>-3.3864573908878537E-2</v>
      </c>
    </row>
    <row r="951" spans="2:14">
      <c r="B951" s="40">
        <v>44785</v>
      </c>
      <c r="C951" s="47">
        <v>4280.1499999999996</v>
      </c>
      <c r="D951" s="81">
        <f t="shared" si="28"/>
        <v>1.7322396708554288E-2</v>
      </c>
      <c r="E951" s="40">
        <v>44785</v>
      </c>
      <c r="F951" s="24">
        <v>29.190000999999999</v>
      </c>
      <c r="G951" s="81">
        <f t="shared" si="29"/>
        <v>3.0928178694156205E-3</v>
      </c>
      <c r="L951" s="40">
        <v>44785</v>
      </c>
      <c r="M951" s="43">
        <v>1.7322400000000002E-2</v>
      </c>
      <c r="N951" s="1">
        <v>3.0928178694156205E-3</v>
      </c>
    </row>
    <row r="952" spans="2:14">
      <c r="B952" s="40">
        <v>44788</v>
      </c>
      <c r="C952" s="47">
        <v>4297.1400000000003</v>
      </c>
      <c r="D952" s="81">
        <f t="shared" si="28"/>
        <v>3.96948705068767E-3</v>
      </c>
      <c r="E952" s="40">
        <v>44788</v>
      </c>
      <c r="F952" s="24">
        <v>29.690000999999999</v>
      </c>
      <c r="G952" s="81">
        <f t="shared" si="29"/>
        <v>1.7129153232985583E-2</v>
      </c>
      <c r="L952" s="40">
        <v>44788</v>
      </c>
      <c r="M952" s="43">
        <v>3.9694999999999999E-3</v>
      </c>
      <c r="N952" s="1">
        <v>1.7129153232985583E-2</v>
      </c>
    </row>
    <row r="953" spans="2:14">
      <c r="B953" s="40">
        <v>44789</v>
      </c>
      <c r="C953" s="47">
        <v>4305.2</v>
      </c>
      <c r="D953" s="81">
        <f t="shared" si="28"/>
        <v>1.8756661407353103E-3</v>
      </c>
      <c r="E953" s="40">
        <v>44789</v>
      </c>
      <c r="F953" s="24">
        <v>30.58</v>
      </c>
      <c r="G953" s="81">
        <f t="shared" si="29"/>
        <v>2.9976388347039862E-2</v>
      </c>
      <c r="L953" s="40">
        <v>44789</v>
      </c>
      <c r="M953" s="43">
        <v>1.8756999999999999E-3</v>
      </c>
      <c r="N953" s="1">
        <v>2.9976388347039862E-2</v>
      </c>
    </row>
    <row r="954" spans="2:14">
      <c r="B954" s="40">
        <v>44790</v>
      </c>
      <c r="C954" s="47">
        <v>4274.04</v>
      </c>
      <c r="D954" s="81">
        <f t="shared" si="28"/>
        <v>-7.2377589891293725E-3</v>
      </c>
      <c r="E954" s="40">
        <v>44790</v>
      </c>
      <c r="F954" s="24">
        <v>30.33</v>
      </c>
      <c r="G954" s="81">
        <f t="shared" si="29"/>
        <v>-8.1752779594506109E-3</v>
      </c>
      <c r="L954" s="40">
        <v>44790</v>
      </c>
      <c r="M954" s="43">
        <v>-7.2378E-3</v>
      </c>
      <c r="N954" s="1">
        <v>-8.1752779594506109E-3</v>
      </c>
    </row>
    <row r="955" spans="2:14">
      <c r="B955" s="40">
        <v>44791</v>
      </c>
      <c r="C955" s="47">
        <v>4283.74</v>
      </c>
      <c r="D955" s="81">
        <f t="shared" si="28"/>
        <v>2.2695154935377104E-3</v>
      </c>
      <c r="E955" s="40">
        <v>44791</v>
      </c>
      <c r="F955" s="24">
        <v>31.190000999999999</v>
      </c>
      <c r="G955" s="81">
        <f t="shared" si="29"/>
        <v>2.8354797230464968E-2</v>
      </c>
      <c r="L955" s="40">
        <v>44791</v>
      </c>
      <c r="M955" s="43">
        <v>2.2694999999999998E-3</v>
      </c>
      <c r="N955" s="1">
        <v>2.8354797230464968E-2</v>
      </c>
    </row>
    <row r="956" spans="2:14">
      <c r="B956" s="40">
        <v>44792</v>
      </c>
      <c r="C956" s="47">
        <v>4228.4799999999996</v>
      </c>
      <c r="D956" s="81">
        <f t="shared" si="28"/>
        <v>-1.2899942573545653E-2</v>
      </c>
      <c r="E956" s="40">
        <v>44792</v>
      </c>
      <c r="F956" s="24">
        <v>31.299999</v>
      </c>
      <c r="G956" s="81">
        <f t="shared" si="29"/>
        <v>3.5267071649021098E-3</v>
      </c>
      <c r="L956" s="40">
        <v>44792</v>
      </c>
      <c r="M956" s="43">
        <v>-1.2899900000000001E-2</v>
      </c>
      <c r="N956" s="1">
        <v>3.5267071649021098E-3</v>
      </c>
    </row>
    <row r="957" spans="2:14">
      <c r="B957" s="40">
        <v>44795</v>
      </c>
      <c r="C957" s="47">
        <v>4137.99</v>
      </c>
      <c r="D957" s="81">
        <f t="shared" si="28"/>
        <v>-2.1400124867564707E-2</v>
      </c>
      <c r="E957" s="40">
        <v>44795</v>
      </c>
      <c r="F957" s="24">
        <v>31.530000999999999</v>
      </c>
      <c r="G957" s="81">
        <f t="shared" si="29"/>
        <v>7.3483069440354321E-3</v>
      </c>
      <c r="L957" s="40">
        <v>44795</v>
      </c>
      <c r="M957" s="43">
        <v>-2.1400099999999998E-2</v>
      </c>
      <c r="N957" s="1">
        <v>7.3483069440354321E-3</v>
      </c>
    </row>
    <row r="958" spans="2:14">
      <c r="B958" s="40">
        <v>44796</v>
      </c>
      <c r="C958" s="47">
        <v>4128.7299999999996</v>
      </c>
      <c r="D958" s="81">
        <f t="shared" si="28"/>
        <v>-2.2378014446627903E-3</v>
      </c>
      <c r="E958" s="40">
        <v>44796</v>
      </c>
      <c r="F958" s="24">
        <v>30.360001</v>
      </c>
      <c r="G958" s="81">
        <f t="shared" si="29"/>
        <v>-3.7107515473913222E-2</v>
      </c>
      <c r="L958" s="40">
        <v>44796</v>
      </c>
      <c r="M958" s="43">
        <v>-2.2377999999999999E-3</v>
      </c>
      <c r="N958" s="1">
        <v>-3.7107515473913222E-2</v>
      </c>
    </row>
    <row r="959" spans="2:14">
      <c r="B959" s="40">
        <v>44797</v>
      </c>
      <c r="C959" s="47">
        <v>4140.7700000000004</v>
      </c>
      <c r="D959" s="81">
        <f t="shared" si="28"/>
        <v>2.9161509713642175E-3</v>
      </c>
      <c r="E959" s="40">
        <v>44797</v>
      </c>
      <c r="F959" s="24">
        <v>30.450001</v>
      </c>
      <c r="G959" s="81">
        <f t="shared" si="29"/>
        <v>2.9644267798278889E-3</v>
      </c>
      <c r="L959" s="40">
        <v>44797</v>
      </c>
      <c r="M959" s="43">
        <v>2.9161999999999999E-3</v>
      </c>
      <c r="N959" s="1">
        <v>2.9644267798278889E-3</v>
      </c>
    </row>
    <row r="960" spans="2:14">
      <c r="B960" s="40">
        <v>44798</v>
      </c>
      <c r="C960" s="47">
        <v>4199.12</v>
      </c>
      <c r="D960" s="81">
        <f t="shared" si="28"/>
        <v>1.4091582000449021E-2</v>
      </c>
      <c r="E960" s="40">
        <v>44798</v>
      </c>
      <c r="F960" s="24">
        <v>30.24</v>
      </c>
      <c r="G960" s="81">
        <f t="shared" si="29"/>
        <v>-6.8965843383717029E-3</v>
      </c>
      <c r="L960" s="40">
        <v>44798</v>
      </c>
      <c r="M960" s="43">
        <v>1.4091599999999999E-2</v>
      </c>
      <c r="N960" s="1">
        <v>-6.8965843383717029E-3</v>
      </c>
    </row>
    <row r="961" spans="2:14">
      <c r="B961" s="40">
        <v>44799</v>
      </c>
      <c r="C961" s="47">
        <v>4057.66</v>
      </c>
      <c r="D961" s="81">
        <f t="shared" si="28"/>
        <v>-3.3688010821315006E-2</v>
      </c>
      <c r="E961" s="40">
        <v>44799</v>
      </c>
      <c r="F961" s="24">
        <v>29.690000999999999</v>
      </c>
      <c r="G961" s="81">
        <f t="shared" si="29"/>
        <v>-1.8187797619047652E-2</v>
      </c>
      <c r="L961" s="40">
        <v>44799</v>
      </c>
      <c r="M961" s="43">
        <v>-3.3688000000000003E-2</v>
      </c>
      <c r="N961" s="1">
        <v>-1.8187797619047652E-2</v>
      </c>
    </row>
    <row r="962" spans="2:14">
      <c r="B962" s="40">
        <v>44802</v>
      </c>
      <c r="C962" s="47">
        <v>4030.61</v>
      </c>
      <c r="D962" s="81">
        <f t="shared" si="28"/>
        <v>-6.6664037893761074E-3</v>
      </c>
      <c r="E962" s="40">
        <v>44802</v>
      </c>
      <c r="F962" s="24">
        <v>29.450001</v>
      </c>
      <c r="G962" s="81">
        <f t="shared" si="29"/>
        <v>-8.0835295357517545E-3</v>
      </c>
      <c r="L962" s="40">
        <v>44802</v>
      </c>
      <c r="M962" s="43">
        <v>-6.6664000000000003E-3</v>
      </c>
      <c r="N962" s="1">
        <v>-8.0835295357517545E-3</v>
      </c>
    </row>
    <row r="963" spans="2:14">
      <c r="B963" s="40">
        <v>44803</v>
      </c>
      <c r="C963" s="47">
        <v>3986.16</v>
      </c>
      <c r="D963" s="81">
        <f t="shared" si="28"/>
        <v>-1.1028107408059928E-2</v>
      </c>
      <c r="E963" s="40">
        <v>44803</v>
      </c>
      <c r="F963" s="24">
        <v>28.75</v>
      </c>
      <c r="G963" s="81">
        <f t="shared" si="29"/>
        <v>-2.3769133318535363E-2</v>
      </c>
      <c r="L963" s="40">
        <v>44803</v>
      </c>
      <c r="M963" s="43">
        <v>-1.1028100000000001E-2</v>
      </c>
      <c r="N963" s="1">
        <v>-2.3769133318535363E-2</v>
      </c>
    </row>
    <row r="964" spans="2:14">
      <c r="B964" s="40">
        <v>44804</v>
      </c>
      <c r="C964" s="47">
        <v>3955</v>
      </c>
      <c r="D964" s="81">
        <f t="shared" si="28"/>
        <v>-7.8170469825595834E-3</v>
      </c>
      <c r="E964" s="40">
        <v>44804</v>
      </c>
      <c r="F964" s="24">
        <v>28.9</v>
      </c>
      <c r="G964" s="81">
        <f t="shared" si="29"/>
        <v>5.2173913043478404E-3</v>
      </c>
      <c r="L964" s="40">
        <v>44804</v>
      </c>
      <c r="M964" s="43">
        <v>-7.8169999999999993E-3</v>
      </c>
      <c r="N964" s="1">
        <v>5.2173913043478404E-3</v>
      </c>
    </row>
    <row r="965" spans="2:14">
      <c r="B965" s="40">
        <v>44805</v>
      </c>
      <c r="C965" s="47">
        <v>3966.85</v>
      </c>
      <c r="D965" s="81">
        <f t="shared" si="28"/>
        <v>2.9962073324905081E-3</v>
      </c>
      <c r="E965" s="40">
        <v>44805</v>
      </c>
      <c r="F965" s="24">
        <v>29.08</v>
      </c>
      <c r="G965" s="81">
        <f t="shared" si="29"/>
        <v>6.2283737024222408E-3</v>
      </c>
      <c r="L965" s="40">
        <v>44805</v>
      </c>
      <c r="M965" s="43">
        <v>2.9962000000000001E-3</v>
      </c>
      <c r="N965" s="1">
        <v>6.2283737024222408E-3</v>
      </c>
    </row>
    <row r="966" spans="2:14">
      <c r="B966" s="40">
        <v>44806</v>
      </c>
      <c r="C966" s="47">
        <v>3924.26</v>
      </c>
      <c r="D966" s="81">
        <f t="shared" ref="D966:D1029" si="30">C966/C965-1</f>
        <v>-1.0736478566116592E-2</v>
      </c>
      <c r="E966" s="40">
        <v>44806</v>
      </c>
      <c r="F966" s="24">
        <v>28.73</v>
      </c>
      <c r="G966" s="81">
        <f t="shared" ref="G966:G1029" si="31">F966/F965-1</f>
        <v>-1.203576341127921E-2</v>
      </c>
      <c r="L966" s="40">
        <v>44806</v>
      </c>
      <c r="M966" s="43">
        <v>-1.07365E-2</v>
      </c>
      <c r="N966" s="1">
        <v>-1.203576341127921E-2</v>
      </c>
    </row>
    <row r="967" spans="2:14">
      <c r="B967" s="40">
        <v>44810</v>
      </c>
      <c r="C967" s="47">
        <v>3908.19</v>
      </c>
      <c r="D967" s="81">
        <f t="shared" si="30"/>
        <v>-4.095039574340209E-3</v>
      </c>
      <c r="E967" s="40">
        <v>44810</v>
      </c>
      <c r="F967" s="24">
        <v>29.24</v>
      </c>
      <c r="G967" s="81">
        <f t="shared" si="31"/>
        <v>1.7751479289940697E-2</v>
      </c>
      <c r="L967" s="40">
        <v>44810</v>
      </c>
      <c r="M967" s="43">
        <v>-4.0949999999999997E-3</v>
      </c>
      <c r="N967" s="1">
        <v>1.7751479289940697E-2</v>
      </c>
    </row>
    <row r="968" spans="2:14">
      <c r="B968" s="40">
        <v>44811</v>
      </c>
      <c r="C968" s="47">
        <v>3979.87</v>
      </c>
      <c r="D968" s="81">
        <f t="shared" si="30"/>
        <v>1.8340971140093032E-2</v>
      </c>
      <c r="E968" s="40">
        <v>44811</v>
      </c>
      <c r="F968" s="24">
        <v>29.73</v>
      </c>
      <c r="G968" s="81">
        <f t="shared" si="31"/>
        <v>1.6757865937072625E-2</v>
      </c>
      <c r="L968" s="40">
        <v>44811</v>
      </c>
      <c r="M968" s="43">
        <v>1.8341E-2</v>
      </c>
      <c r="N968" s="1">
        <v>1.6757865937072625E-2</v>
      </c>
    </row>
    <row r="969" spans="2:14">
      <c r="B969" s="40">
        <v>44812</v>
      </c>
      <c r="C969" s="47">
        <v>4006.18</v>
      </c>
      <c r="D969" s="81">
        <f t="shared" si="30"/>
        <v>6.6107686934497867E-3</v>
      </c>
      <c r="E969" s="40">
        <v>44812</v>
      </c>
      <c r="F969" s="24">
        <v>29.51</v>
      </c>
      <c r="G969" s="81">
        <f t="shared" si="31"/>
        <v>-7.3999327278843063E-3</v>
      </c>
      <c r="L969" s="40">
        <v>44812</v>
      </c>
      <c r="M969" s="43">
        <v>6.6108E-3</v>
      </c>
      <c r="N969" s="1">
        <v>-7.3999327278843063E-3</v>
      </c>
    </row>
    <row r="970" spans="2:14">
      <c r="B970" s="40">
        <v>44813</v>
      </c>
      <c r="C970" s="47">
        <v>4067.36</v>
      </c>
      <c r="D970" s="81">
        <f t="shared" si="30"/>
        <v>1.5271405678227268E-2</v>
      </c>
      <c r="E970" s="40">
        <v>44813</v>
      </c>
      <c r="F970" s="24">
        <v>30.629999000000002</v>
      </c>
      <c r="G970" s="81">
        <f t="shared" si="31"/>
        <v>3.7953202304303657E-2</v>
      </c>
      <c r="L970" s="40">
        <v>44813</v>
      </c>
      <c r="M970" s="43">
        <v>1.5271399999999999E-2</v>
      </c>
      <c r="N970" s="1">
        <v>3.7953202304303657E-2</v>
      </c>
    </row>
    <row r="971" spans="2:14">
      <c r="B971" s="40">
        <v>44816</v>
      </c>
      <c r="C971" s="47">
        <v>4110.41</v>
      </c>
      <c r="D971" s="81">
        <f t="shared" si="30"/>
        <v>1.058426104401855E-2</v>
      </c>
      <c r="E971" s="40">
        <v>44816</v>
      </c>
      <c r="F971" s="24">
        <v>30.190000999999999</v>
      </c>
      <c r="G971" s="81">
        <f t="shared" si="31"/>
        <v>-1.4364936805907225E-2</v>
      </c>
      <c r="L971" s="40">
        <v>44816</v>
      </c>
      <c r="M971" s="43">
        <v>1.05843E-2</v>
      </c>
      <c r="N971" s="1">
        <v>-1.4364936805907225E-2</v>
      </c>
    </row>
    <row r="972" spans="2:14">
      <c r="B972" s="40">
        <v>44817</v>
      </c>
      <c r="C972" s="47">
        <v>3932.69</v>
      </c>
      <c r="D972" s="81">
        <f t="shared" si="30"/>
        <v>-4.3236562775976095E-2</v>
      </c>
      <c r="E972" s="40">
        <v>44817</v>
      </c>
      <c r="F972" s="24">
        <v>28.76</v>
      </c>
      <c r="G972" s="81">
        <f t="shared" si="31"/>
        <v>-4.7366709262447459E-2</v>
      </c>
      <c r="L972" s="40">
        <v>44817</v>
      </c>
      <c r="M972" s="43">
        <v>-4.32366E-2</v>
      </c>
      <c r="N972" s="1">
        <v>-4.7366709262447459E-2</v>
      </c>
    </row>
    <row r="973" spans="2:14">
      <c r="B973" s="40">
        <v>44818</v>
      </c>
      <c r="C973" s="47">
        <v>3946.01</v>
      </c>
      <c r="D973" s="81">
        <f t="shared" si="30"/>
        <v>3.3869946525153516E-3</v>
      </c>
      <c r="E973" s="40">
        <v>44818</v>
      </c>
      <c r="F973" s="24">
        <v>28.389999</v>
      </c>
      <c r="G973" s="81">
        <f t="shared" si="31"/>
        <v>-1.2865125173852632E-2</v>
      </c>
      <c r="L973" s="40">
        <v>44818</v>
      </c>
      <c r="M973" s="43">
        <v>3.3869999999999998E-3</v>
      </c>
      <c r="N973" s="1">
        <v>-1.2865125173852632E-2</v>
      </c>
    </row>
    <row r="974" spans="2:14">
      <c r="B974" s="40">
        <v>44819</v>
      </c>
      <c r="C974" s="47">
        <v>3901.35</v>
      </c>
      <c r="D974" s="81">
        <f t="shared" si="30"/>
        <v>-1.1317761485652666E-2</v>
      </c>
      <c r="E974" s="40">
        <v>44819</v>
      </c>
      <c r="F974" s="24">
        <v>27.639999</v>
      </c>
      <c r="G974" s="81">
        <f t="shared" si="31"/>
        <v>-2.6417753660364696E-2</v>
      </c>
      <c r="L974" s="40">
        <v>44819</v>
      </c>
      <c r="M974" s="43">
        <v>-1.1317799999999999E-2</v>
      </c>
      <c r="N974" s="1">
        <v>-2.6417753660364696E-2</v>
      </c>
    </row>
    <row r="975" spans="2:14">
      <c r="B975" s="40">
        <v>44820</v>
      </c>
      <c r="C975" s="47">
        <v>3873.33</v>
      </c>
      <c r="D975" s="81">
        <f t="shared" si="30"/>
        <v>-7.1821292629474787E-3</v>
      </c>
      <c r="E975" s="40">
        <v>44820</v>
      </c>
      <c r="F975" s="24">
        <v>27.860001</v>
      </c>
      <c r="G975" s="81">
        <f t="shared" si="31"/>
        <v>7.9595516627912755E-3</v>
      </c>
      <c r="L975" s="40">
        <v>44820</v>
      </c>
      <c r="M975" s="43">
        <v>-7.1821000000000003E-3</v>
      </c>
      <c r="N975" s="1">
        <v>7.9595516627912755E-3</v>
      </c>
    </row>
    <row r="976" spans="2:14">
      <c r="B976" s="40">
        <v>44823</v>
      </c>
      <c r="C976" s="47">
        <v>3899.89</v>
      </c>
      <c r="D976" s="81">
        <f t="shared" si="30"/>
        <v>6.8571487583035662E-3</v>
      </c>
      <c r="E976" s="40">
        <v>44823</v>
      </c>
      <c r="F976" s="24">
        <v>27.77</v>
      </c>
      <c r="G976" s="81">
        <f t="shared" si="31"/>
        <v>-3.2304736816054502E-3</v>
      </c>
      <c r="L976" s="40">
        <v>44823</v>
      </c>
      <c r="M976" s="43">
        <v>6.8570999999999997E-3</v>
      </c>
      <c r="N976" s="1">
        <v>-3.2304736816054502E-3</v>
      </c>
    </row>
    <row r="977" spans="2:14">
      <c r="B977" s="40">
        <v>44824</v>
      </c>
      <c r="C977" s="47">
        <v>3855.93</v>
      </c>
      <c r="D977" s="81">
        <f t="shared" si="30"/>
        <v>-1.1272112803181633E-2</v>
      </c>
      <c r="E977" s="40">
        <v>44824</v>
      </c>
      <c r="F977" s="24">
        <v>27.360001</v>
      </c>
      <c r="G977" s="81">
        <f t="shared" si="31"/>
        <v>-1.4764097947425281E-2</v>
      </c>
      <c r="L977" s="40">
        <v>44824</v>
      </c>
      <c r="M977" s="43">
        <v>-1.12721E-2</v>
      </c>
      <c r="N977" s="1">
        <v>-1.4764097947425281E-2</v>
      </c>
    </row>
    <row r="978" spans="2:14">
      <c r="B978" s="40">
        <v>44825</v>
      </c>
      <c r="C978" s="47">
        <v>3789.93</v>
      </c>
      <c r="D978" s="81">
        <f t="shared" si="30"/>
        <v>-1.7116493297336777E-2</v>
      </c>
      <c r="E978" s="40">
        <v>44825</v>
      </c>
      <c r="F978" s="24">
        <v>27.24</v>
      </c>
      <c r="G978" s="81">
        <f t="shared" si="31"/>
        <v>-4.3860013016813193E-3</v>
      </c>
      <c r="L978" s="40">
        <v>44825</v>
      </c>
      <c r="M978" s="43">
        <v>-1.71165E-2</v>
      </c>
      <c r="N978" s="1">
        <v>-4.3860013016813193E-3</v>
      </c>
    </row>
    <row r="979" spans="2:14">
      <c r="B979" s="40">
        <v>44826</v>
      </c>
      <c r="C979" s="47">
        <v>3757.99</v>
      </c>
      <c r="D979" s="81">
        <f t="shared" si="30"/>
        <v>-8.4275962880581146E-3</v>
      </c>
      <c r="E979" s="40">
        <v>44826</v>
      </c>
      <c r="F979" s="24">
        <v>27.440000999999999</v>
      </c>
      <c r="G979" s="81">
        <f t="shared" si="31"/>
        <v>7.3421806167401904E-3</v>
      </c>
      <c r="L979" s="40">
        <v>44826</v>
      </c>
      <c r="M979" s="43">
        <v>-8.4276000000000004E-3</v>
      </c>
      <c r="N979" s="1">
        <v>7.3421806167401904E-3</v>
      </c>
    </row>
    <row r="980" spans="2:14">
      <c r="B980" s="40">
        <v>44827</v>
      </c>
      <c r="C980" s="47">
        <v>3693.23</v>
      </c>
      <c r="D980" s="81">
        <f t="shared" si="30"/>
        <v>-1.7232616372049869E-2</v>
      </c>
      <c r="E980" s="40">
        <v>44827</v>
      </c>
      <c r="F980" s="24">
        <v>27.77</v>
      </c>
      <c r="G980" s="81">
        <f t="shared" si="31"/>
        <v>1.2026202185634105E-2</v>
      </c>
      <c r="L980" s="40">
        <v>44827</v>
      </c>
      <c r="M980" s="43">
        <v>-1.7232600000000001E-2</v>
      </c>
      <c r="N980" s="1">
        <v>1.2026202185634105E-2</v>
      </c>
    </row>
    <row r="981" spans="2:14">
      <c r="B981" s="40">
        <v>44830</v>
      </c>
      <c r="C981" s="47">
        <v>3655.04</v>
      </c>
      <c r="D981" s="81">
        <f t="shared" si="30"/>
        <v>-1.0340542018774879E-2</v>
      </c>
      <c r="E981" s="40">
        <v>44830</v>
      </c>
      <c r="F981" s="24">
        <v>27.110001</v>
      </c>
      <c r="G981" s="81">
        <f t="shared" si="31"/>
        <v>-2.3766618653222826E-2</v>
      </c>
      <c r="L981" s="40">
        <v>44830</v>
      </c>
      <c r="M981" s="43">
        <v>-1.0340500000000001E-2</v>
      </c>
      <c r="N981" s="1">
        <v>-2.3766618653222826E-2</v>
      </c>
    </row>
    <row r="982" spans="2:14">
      <c r="B982" s="40">
        <v>44831</v>
      </c>
      <c r="C982" s="47">
        <v>3647.29</v>
      </c>
      <c r="D982" s="81">
        <f t="shared" si="30"/>
        <v>-2.1203598319033956E-3</v>
      </c>
      <c r="E982" s="40">
        <v>44831</v>
      </c>
      <c r="F982" s="24">
        <v>27.07</v>
      </c>
      <c r="G982" s="81">
        <f t="shared" si="31"/>
        <v>-1.4755071384910945E-3</v>
      </c>
      <c r="L982" s="40">
        <v>44831</v>
      </c>
      <c r="M982" s="43">
        <v>-2.1204000000000001E-3</v>
      </c>
      <c r="N982" s="1">
        <v>-1.4755071384910945E-3</v>
      </c>
    </row>
    <row r="983" spans="2:14">
      <c r="B983" s="40">
        <v>44832</v>
      </c>
      <c r="C983" s="47">
        <v>3719.04</v>
      </c>
      <c r="D983" s="81">
        <f t="shared" si="30"/>
        <v>1.9672140136923533E-2</v>
      </c>
      <c r="E983" s="40">
        <v>44832</v>
      </c>
      <c r="F983" s="24">
        <v>28.58</v>
      </c>
      <c r="G983" s="81">
        <f t="shared" si="31"/>
        <v>5.5781307720723872E-2</v>
      </c>
      <c r="L983" s="40">
        <v>44832</v>
      </c>
      <c r="M983" s="43">
        <v>1.9672100000000001E-2</v>
      </c>
      <c r="N983" s="1">
        <v>5.5781307720723872E-2</v>
      </c>
    </row>
    <row r="984" spans="2:14">
      <c r="B984" s="40">
        <v>44833</v>
      </c>
      <c r="C984" s="47">
        <v>3640.47</v>
      </c>
      <c r="D984" s="81">
        <f t="shared" si="30"/>
        <v>-2.1126419721218426E-2</v>
      </c>
      <c r="E984" s="40">
        <v>44833</v>
      </c>
      <c r="F984" s="24">
        <v>28.030000999999999</v>
      </c>
      <c r="G984" s="81">
        <f t="shared" si="31"/>
        <v>-1.9244191742477268E-2</v>
      </c>
      <c r="L984" s="40">
        <v>44833</v>
      </c>
      <c r="M984" s="43">
        <v>-2.11264E-2</v>
      </c>
      <c r="N984" s="1">
        <v>-1.9244191742477268E-2</v>
      </c>
    </row>
    <row r="985" spans="2:14">
      <c r="B985" s="40">
        <v>44834</v>
      </c>
      <c r="C985" s="47">
        <v>3585.62</v>
      </c>
      <c r="D985" s="81">
        <f t="shared" si="30"/>
        <v>-1.506673588849794E-2</v>
      </c>
      <c r="E985" s="40">
        <v>44834</v>
      </c>
      <c r="F985" s="24">
        <v>27.75</v>
      </c>
      <c r="G985" s="81">
        <f t="shared" si="31"/>
        <v>-9.9893325012724299E-3</v>
      </c>
      <c r="L985" s="40">
        <v>44834</v>
      </c>
      <c r="M985" s="43">
        <v>-1.5066700000000001E-2</v>
      </c>
      <c r="N985" s="1">
        <v>-9.9893325012724299E-3</v>
      </c>
    </row>
    <row r="986" spans="2:14">
      <c r="B986" s="40">
        <v>44837</v>
      </c>
      <c r="C986" s="47">
        <v>3678.43</v>
      </c>
      <c r="D986" s="81">
        <f t="shared" si="30"/>
        <v>2.5883947546031072E-2</v>
      </c>
      <c r="E986" s="40">
        <v>44837</v>
      </c>
      <c r="F986" s="24">
        <v>27.75</v>
      </c>
      <c r="G986" s="81">
        <f t="shared" si="31"/>
        <v>0</v>
      </c>
      <c r="L986" s="40">
        <v>44837</v>
      </c>
      <c r="M986" s="43">
        <v>2.5883900000000001E-2</v>
      </c>
      <c r="N986" s="1">
        <v>0</v>
      </c>
    </row>
    <row r="987" spans="2:14">
      <c r="B987" s="40">
        <v>44838</v>
      </c>
      <c r="C987" s="47">
        <v>3790.93</v>
      </c>
      <c r="D987" s="81">
        <f t="shared" si="30"/>
        <v>3.0583700111188827E-2</v>
      </c>
      <c r="E987" s="40">
        <v>44838</v>
      </c>
      <c r="F987" s="24">
        <v>28.129999000000002</v>
      </c>
      <c r="G987" s="81">
        <f t="shared" si="31"/>
        <v>1.3693657657657621E-2</v>
      </c>
      <c r="L987" s="40">
        <v>44838</v>
      </c>
      <c r="M987" s="43">
        <v>3.0583699999999998E-2</v>
      </c>
      <c r="N987" s="1">
        <v>1.3693657657657621E-2</v>
      </c>
    </row>
    <row r="988" spans="2:14">
      <c r="B988" s="40">
        <v>44839</v>
      </c>
      <c r="C988" s="47">
        <v>3783.28</v>
      </c>
      <c r="D988" s="81">
        <f t="shared" si="30"/>
        <v>-2.0179744811957834E-3</v>
      </c>
      <c r="E988" s="40">
        <v>44839</v>
      </c>
      <c r="F988" s="24">
        <v>27.09</v>
      </c>
      <c r="G988" s="81">
        <f t="shared" si="31"/>
        <v>-3.6971170884151139E-2</v>
      </c>
      <c r="L988" s="40">
        <v>44839</v>
      </c>
      <c r="M988" s="43">
        <v>-2.0179999999999998E-3</v>
      </c>
      <c r="N988" s="1">
        <v>-3.6971170884151139E-2</v>
      </c>
    </row>
    <row r="989" spans="2:14">
      <c r="B989" s="40">
        <v>44840</v>
      </c>
      <c r="C989" s="47">
        <v>3744.52</v>
      </c>
      <c r="D989" s="81">
        <f t="shared" si="30"/>
        <v>-1.0245078344716774E-2</v>
      </c>
      <c r="E989" s="40">
        <v>44840</v>
      </c>
      <c r="F989" s="24">
        <v>27.049999</v>
      </c>
      <c r="G989" s="81">
        <f t="shared" si="31"/>
        <v>-1.4765965300849171E-3</v>
      </c>
      <c r="L989" s="40">
        <v>44840</v>
      </c>
      <c r="M989" s="43">
        <v>-1.02451E-2</v>
      </c>
      <c r="N989" s="1">
        <v>-1.4765965300849171E-3</v>
      </c>
    </row>
    <row r="990" spans="2:14">
      <c r="B990" s="40">
        <v>44841</v>
      </c>
      <c r="C990" s="47">
        <v>3639.66</v>
      </c>
      <c r="D990" s="81">
        <f t="shared" si="30"/>
        <v>-2.8003589245083504E-2</v>
      </c>
      <c r="E990" s="40">
        <v>44841</v>
      </c>
      <c r="F990" s="24">
        <v>26.709999</v>
      </c>
      <c r="G990" s="81">
        <f t="shared" si="31"/>
        <v>-1.2569316546000575E-2</v>
      </c>
      <c r="L990" s="40">
        <v>44841</v>
      </c>
      <c r="M990" s="43">
        <v>-2.80036E-2</v>
      </c>
      <c r="N990" s="1">
        <v>-1.2569316546000575E-2</v>
      </c>
    </row>
    <row r="991" spans="2:14">
      <c r="B991" s="40">
        <v>44844</v>
      </c>
      <c r="C991" s="47">
        <v>3612.39</v>
      </c>
      <c r="D991" s="81">
        <f t="shared" si="30"/>
        <v>-7.4924580867443691E-3</v>
      </c>
      <c r="E991" s="40">
        <v>44844</v>
      </c>
      <c r="F991" s="24">
        <v>27.700001</v>
      </c>
      <c r="G991" s="81">
        <f t="shared" si="31"/>
        <v>3.7064846015157027E-2</v>
      </c>
      <c r="L991" s="40">
        <v>44844</v>
      </c>
      <c r="M991" s="43">
        <v>-7.4925E-3</v>
      </c>
      <c r="N991" s="1">
        <v>3.7064846015157027E-2</v>
      </c>
    </row>
    <row r="992" spans="2:14">
      <c r="B992" s="40">
        <v>44845</v>
      </c>
      <c r="C992" s="47">
        <v>3588.84</v>
      </c>
      <c r="D992" s="81">
        <f t="shared" si="30"/>
        <v>-6.5192296512833758E-3</v>
      </c>
      <c r="E992" s="40">
        <v>44845</v>
      </c>
      <c r="F992" s="24">
        <v>28.299999</v>
      </c>
      <c r="G992" s="81">
        <f t="shared" si="31"/>
        <v>2.1660576835358158E-2</v>
      </c>
      <c r="L992" s="40">
        <v>44845</v>
      </c>
      <c r="M992" s="43">
        <v>-6.5192000000000002E-3</v>
      </c>
      <c r="N992" s="1">
        <v>2.1660576835358158E-2</v>
      </c>
    </row>
    <row r="993" spans="2:14">
      <c r="B993" s="40">
        <v>44846</v>
      </c>
      <c r="C993" s="47">
        <v>3577.03</v>
      </c>
      <c r="D993" s="81">
        <f t="shared" si="30"/>
        <v>-3.2907569019515748E-3</v>
      </c>
      <c r="E993" s="40">
        <v>44846</v>
      </c>
      <c r="F993" s="24">
        <v>27.540001</v>
      </c>
      <c r="G993" s="81">
        <f t="shared" si="31"/>
        <v>-2.6855053952475338E-2</v>
      </c>
      <c r="L993" s="40">
        <v>44846</v>
      </c>
      <c r="M993" s="43">
        <v>-3.2908E-3</v>
      </c>
      <c r="N993" s="1">
        <v>-2.6855053952475338E-2</v>
      </c>
    </row>
    <row r="994" spans="2:14">
      <c r="B994" s="40">
        <v>44847</v>
      </c>
      <c r="C994" s="47">
        <v>3669.91</v>
      </c>
      <c r="D994" s="81">
        <f t="shared" si="30"/>
        <v>2.5965675434648228E-2</v>
      </c>
      <c r="E994" s="40">
        <v>44847</v>
      </c>
      <c r="F994" s="24">
        <v>28.76</v>
      </c>
      <c r="G994" s="81">
        <f t="shared" si="31"/>
        <v>4.4299163242586648E-2</v>
      </c>
      <c r="L994" s="40">
        <v>44847</v>
      </c>
      <c r="M994" s="43">
        <v>2.5965700000000001E-2</v>
      </c>
      <c r="N994" s="1">
        <v>4.4299163242586648E-2</v>
      </c>
    </row>
    <row r="995" spans="2:14">
      <c r="B995" s="40">
        <v>44848</v>
      </c>
      <c r="C995" s="47">
        <v>3583.07</v>
      </c>
      <c r="D995" s="81">
        <f t="shared" si="30"/>
        <v>-2.3662705624933444E-2</v>
      </c>
      <c r="E995" s="40">
        <v>44848</v>
      </c>
      <c r="F995" s="24">
        <v>26.969999000000001</v>
      </c>
      <c r="G995" s="81">
        <f t="shared" si="31"/>
        <v>-6.2239255910987445E-2</v>
      </c>
      <c r="L995" s="40">
        <v>44848</v>
      </c>
      <c r="M995" s="43">
        <v>-2.3662699999999998E-2</v>
      </c>
      <c r="N995" s="1">
        <v>-6.2239255910987445E-2</v>
      </c>
    </row>
    <row r="996" spans="2:14">
      <c r="B996" s="40">
        <v>44851</v>
      </c>
      <c r="C996" s="47">
        <v>3677.95</v>
      </c>
      <c r="D996" s="81">
        <f t="shared" si="30"/>
        <v>2.6480085513260976E-2</v>
      </c>
      <c r="E996" s="40">
        <v>44851</v>
      </c>
      <c r="F996" s="24">
        <v>27.85</v>
      </c>
      <c r="G996" s="81">
        <f t="shared" si="31"/>
        <v>3.2628885154945664E-2</v>
      </c>
      <c r="L996" s="40">
        <v>44851</v>
      </c>
      <c r="M996" s="43">
        <v>2.6480099999999999E-2</v>
      </c>
      <c r="N996" s="1">
        <v>3.2628885154945664E-2</v>
      </c>
    </row>
    <row r="997" spans="2:14">
      <c r="B997" s="40">
        <v>44852</v>
      </c>
      <c r="C997" s="47">
        <v>3719.98</v>
      </c>
      <c r="D997" s="81">
        <f t="shared" si="30"/>
        <v>1.1427561549232745E-2</v>
      </c>
      <c r="E997" s="40">
        <v>44852</v>
      </c>
      <c r="F997" s="24">
        <v>27.91</v>
      </c>
      <c r="G997" s="81">
        <f t="shared" si="31"/>
        <v>2.1543985637342278E-3</v>
      </c>
      <c r="L997" s="40">
        <v>44852</v>
      </c>
      <c r="M997" s="43">
        <v>1.14276E-2</v>
      </c>
      <c r="N997" s="1">
        <v>2.1543985637342278E-3</v>
      </c>
    </row>
    <row r="998" spans="2:14">
      <c r="B998" s="40">
        <v>44853</v>
      </c>
      <c r="C998" s="47">
        <v>3695.16</v>
      </c>
      <c r="D998" s="81">
        <f t="shared" si="30"/>
        <v>-6.6720788821446053E-3</v>
      </c>
      <c r="E998" s="40">
        <v>44853</v>
      </c>
      <c r="F998" s="24">
        <v>27.959999</v>
      </c>
      <c r="G998" s="81">
        <f t="shared" si="31"/>
        <v>1.7914367610174509E-3</v>
      </c>
      <c r="L998" s="40">
        <v>44853</v>
      </c>
      <c r="M998" s="43">
        <v>-6.6721000000000003E-3</v>
      </c>
      <c r="N998" s="1">
        <v>1.7914367610174509E-3</v>
      </c>
    </row>
    <row r="999" spans="2:14">
      <c r="B999" s="40">
        <v>44854</v>
      </c>
      <c r="C999" s="47">
        <v>3665.78</v>
      </c>
      <c r="D999" s="81">
        <f t="shared" si="30"/>
        <v>-7.9509412312320782E-3</v>
      </c>
      <c r="E999" s="40">
        <v>44854</v>
      </c>
      <c r="F999" s="24">
        <v>26.360001</v>
      </c>
      <c r="G999" s="81">
        <f t="shared" si="31"/>
        <v>-5.7224537096728811E-2</v>
      </c>
      <c r="L999" s="40">
        <v>44854</v>
      </c>
      <c r="M999" s="43">
        <v>-7.9509000000000003E-3</v>
      </c>
      <c r="N999" s="1">
        <v>-5.7224537096728811E-2</v>
      </c>
    </row>
    <row r="1000" spans="2:14">
      <c r="B1000" s="40">
        <v>44855</v>
      </c>
      <c r="C1000" s="47">
        <v>3752.75</v>
      </c>
      <c r="D1000" s="81">
        <f t="shared" si="30"/>
        <v>2.3724828003862664E-2</v>
      </c>
      <c r="E1000" s="40">
        <v>44855</v>
      </c>
      <c r="F1000" s="24">
        <v>27.17</v>
      </c>
      <c r="G1000" s="81">
        <f t="shared" si="31"/>
        <v>3.0728337225783831E-2</v>
      </c>
      <c r="L1000" s="40">
        <v>44855</v>
      </c>
      <c r="M1000" s="43">
        <v>2.3724800000000001E-2</v>
      </c>
      <c r="N1000" s="1">
        <v>3.0728337225783831E-2</v>
      </c>
    </row>
    <row r="1001" spans="2:14">
      <c r="B1001" s="40">
        <v>44858</v>
      </c>
      <c r="C1001" s="47">
        <v>3797.34</v>
      </c>
      <c r="D1001" s="81">
        <f t="shared" si="30"/>
        <v>1.1881953234294862E-2</v>
      </c>
      <c r="E1001" s="40">
        <v>44858</v>
      </c>
      <c r="F1001" s="24">
        <v>26.99</v>
      </c>
      <c r="G1001" s="81">
        <f t="shared" si="31"/>
        <v>-6.6249539933751489E-3</v>
      </c>
      <c r="L1001" s="40">
        <v>44858</v>
      </c>
      <c r="M1001" s="43">
        <v>1.1882E-2</v>
      </c>
      <c r="N1001" s="1">
        <v>-6.6249539933751489E-3</v>
      </c>
    </row>
    <row r="1002" spans="2:14">
      <c r="B1002" s="40">
        <v>44859</v>
      </c>
      <c r="C1002" s="47">
        <v>3859.11</v>
      </c>
      <c r="D1002" s="81">
        <f t="shared" si="30"/>
        <v>1.6266649812763712E-2</v>
      </c>
      <c r="E1002" s="40">
        <v>44859</v>
      </c>
      <c r="F1002" s="24">
        <v>27.5</v>
      </c>
      <c r="G1002" s="81">
        <f t="shared" si="31"/>
        <v>1.8895887365691033E-2</v>
      </c>
      <c r="L1002" s="40">
        <v>44859</v>
      </c>
      <c r="M1002" s="43">
        <v>1.6266599999999999E-2</v>
      </c>
      <c r="N1002" s="1">
        <v>1.8895887365691033E-2</v>
      </c>
    </row>
    <row r="1003" spans="2:14">
      <c r="B1003" s="40">
        <v>44860</v>
      </c>
      <c r="C1003" s="47">
        <v>3830.6</v>
      </c>
      <c r="D1003" s="81">
        <f t="shared" si="30"/>
        <v>-7.3877137474703813E-3</v>
      </c>
      <c r="E1003" s="40">
        <v>44860</v>
      </c>
      <c r="F1003" s="24">
        <v>28.459999</v>
      </c>
      <c r="G1003" s="81">
        <f t="shared" si="31"/>
        <v>3.4909054545454454E-2</v>
      </c>
      <c r="L1003" s="40">
        <v>44860</v>
      </c>
      <c r="M1003" s="43">
        <v>-7.3876999999999996E-3</v>
      </c>
      <c r="N1003" s="1">
        <v>3.4909054545454454E-2</v>
      </c>
    </row>
    <row r="1004" spans="2:14">
      <c r="B1004" s="40">
        <v>44861</v>
      </c>
      <c r="C1004" s="47">
        <v>3807.3</v>
      </c>
      <c r="D1004" s="81">
        <f t="shared" si="30"/>
        <v>-6.0825980264187507E-3</v>
      </c>
      <c r="E1004" s="40">
        <v>44861</v>
      </c>
      <c r="F1004" s="24">
        <v>28.549999</v>
      </c>
      <c r="G1004" s="81">
        <f t="shared" si="31"/>
        <v>3.16233321020154E-3</v>
      </c>
      <c r="L1004" s="40">
        <v>44861</v>
      </c>
      <c r="M1004" s="43">
        <v>-6.0825999999999996E-3</v>
      </c>
      <c r="N1004" s="1">
        <v>3.16233321020154E-3</v>
      </c>
    </row>
    <row r="1005" spans="2:14">
      <c r="B1005" s="40">
        <v>44862</v>
      </c>
      <c r="C1005" s="47">
        <v>3901.06</v>
      </c>
      <c r="D1005" s="81">
        <f t="shared" si="30"/>
        <v>2.4626375646783716E-2</v>
      </c>
      <c r="E1005" s="40">
        <v>44862</v>
      </c>
      <c r="F1005" s="24">
        <v>29.709999</v>
      </c>
      <c r="G1005" s="81">
        <f t="shared" si="31"/>
        <v>4.0630474277774997E-2</v>
      </c>
      <c r="L1005" s="40">
        <v>44862</v>
      </c>
      <c r="M1005" s="43">
        <v>2.46264E-2</v>
      </c>
      <c r="N1005" s="1">
        <v>4.0630474277774997E-2</v>
      </c>
    </row>
    <row r="1006" spans="2:14">
      <c r="B1006" s="40">
        <v>44865</v>
      </c>
      <c r="C1006" s="47">
        <v>3871.98</v>
      </c>
      <c r="D1006" s="81">
        <f t="shared" si="30"/>
        <v>-7.4543841930141408E-3</v>
      </c>
      <c r="E1006" s="40">
        <v>44865</v>
      </c>
      <c r="F1006" s="24">
        <v>29.5</v>
      </c>
      <c r="G1006" s="81">
        <f t="shared" si="31"/>
        <v>-7.0682937417803071E-3</v>
      </c>
      <c r="L1006" s="40">
        <v>44865</v>
      </c>
      <c r="M1006" s="43">
        <v>-7.4543999999999999E-3</v>
      </c>
      <c r="N1006" s="1">
        <v>-7.0682937417803071E-3</v>
      </c>
    </row>
    <row r="1007" spans="2:14">
      <c r="B1007" s="40">
        <v>44866</v>
      </c>
      <c r="C1007" s="47">
        <v>3856.1</v>
      </c>
      <c r="D1007" s="81">
        <f t="shared" si="30"/>
        <v>-4.10126085362017E-3</v>
      </c>
      <c r="E1007" s="40">
        <v>44866</v>
      </c>
      <c r="F1007" s="24">
        <v>28.73</v>
      </c>
      <c r="G1007" s="81">
        <f t="shared" si="31"/>
        <v>-2.610169491525427E-2</v>
      </c>
      <c r="L1007" s="40">
        <v>44866</v>
      </c>
      <c r="M1007" s="43">
        <v>-4.1013000000000004E-3</v>
      </c>
      <c r="N1007" s="1">
        <v>-2.610169491525427E-2</v>
      </c>
    </row>
    <row r="1008" spans="2:14">
      <c r="B1008" s="40">
        <v>44867</v>
      </c>
      <c r="C1008" s="47">
        <v>3759.69</v>
      </c>
      <c r="D1008" s="81">
        <f t="shared" si="30"/>
        <v>-2.5001944970306722E-2</v>
      </c>
      <c r="E1008" s="40">
        <v>44867</v>
      </c>
      <c r="F1008" s="24">
        <v>28.790001</v>
      </c>
      <c r="G1008" s="81">
        <f t="shared" si="31"/>
        <v>2.0884441350503824E-3</v>
      </c>
      <c r="L1008" s="40">
        <v>44867</v>
      </c>
      <c r="M1008" s="43">
        <v>-2.5001900000000001E-2</v>
      </c>
      <c r="N1008" s="1">
        <v>2.0884441350503824E-3</v>
      </c>
    </row>
    <row r="1009" spans="2:14">
      <c r="B1009" s="40">
        <v>44868</v>
      </c>
      <c r="C1009" s="47">
        <v>3719.89</v>
      </c>
      <c r="D1009" s="81">
        <f t="shared" si="30"/>
        <v>-1.0585979163175718E-2</v>
      </c>
      <c r="E1009" s="40">
        <v>44868</v>
      </c>
      <c r="F1009" s="24">
        <v>29.01</v>
      </c>
      <c r="G1009" s="81">
        <f t="shared" si="31"/>
        <v>7.6415072024484942E-3</v>
      </c>
      <c r="L1009" s="40">
        <v>44868</v>
      </c>
      <c r="M1009" s="43">
        <v>-1.0586E-2</v>
      </c>
      <c r="N1009" s="1">
        <v>7.6415072024484942E-3</v>
      </c>
    </row>
    <row r="1010" spans="2:14">
      <c r="B1010" s="40">
        <v>44869</v>
      </c>
      <c r="C1010" s="47">
        <v>3770.55</v>
      </c>
      <c r="D1010" s="81">
        <f t="shared" si="30"/>
        <v>1.3618682272863003E-2</v>
      </c>
      <c r="E1010" s="40">
        <v>44869</v>
      </c>
      <c r="F1010" s="24">
        <v>28.870000999999998</v>
      </c>
      <c r="G1010" s="81">
        <f t="shared" si="31"/>
        <v>-4.8258876249570593E-3</v>
      </c>
      <c r="L1010" s="40">
        <v>44869</v>
      </c>
      <c r="M1010" s="43">
        <v>1.3618699999999999E-2</v>
      </c>
      <c r="N1010" s="1">
        <v>-4.8258876249570593E-3</v>
      </c>
    </row>
    <row r="1011" spans="2:14">
      <c r="B1011" s="40">
        <v>44872</v>
      </c>
      <c r="C1011" s="47">
        <v>3806.8</v>
      </c>
      <c r="D1011" s="81">
        <f t="shared" si="30"/>
        <v>9.6139820450598101E-3</v>
      </c>
      <c r="E1011" s="40">
        <v>44872</v>
      </c>
      <c r="F1011" s="24">
        <v>28.83</v>
      </c>
      <c r="G1011" s="81">
        <f t="shared" si="31"/>
        <v>-1.385555892429613E-3</v>
      </c>
      <c r="L1011" s="40">
        <v>44872</v>
      </c>
      <c r="M1011" s="43">
        <v>9.6139999999999993E-3</v>
      </c>
      <c r="N1011" s="1">
        <v>-1.385555892429613E-3</v>
      </c>
    </row>
    <row r="1012" spans="2:14">
      <c r="B1012" s="40">
        <v>44873</v>
      </c>
      <c r="C1012" s="47">
        <v>3828.11</v>
      </c>
      <c r="D1012" s="81">
        <f t="shared" si="30"/>
        <v>5.5978774823999267E-3</v>
      </c>
      <c r="E1012" s="40">
        <v>44873</v>
      </c>
      <c r="F1012" s="24">
        <v>28.67</v>
      </c>
      <c r="G1012" s="81">
        <f t="shared" si="31"/>
        <v>-5.5497745404091692E-3</v>
      </c>
      <c r="L1012" s="40">
        <v>44873</v>
      </c>
      <c r="M1012" s="43">
        <v>5.5979000000000003E-3</v>
      </c>
      <c r="N1012" s="1">
        <v>-5.5497745404091692E-3</v>
      </c>
    </row>
    <row r="1013" spans="2:14">
      <c r="B1013" s="40">
        <v>44874</v>
      </c>
      <c r="C1013" s="47">
        <v>3748.57</v>
      </c>
      <c r="D1013" s="81">
        <f t="shared" si="30"/>
        <v>-2.0777877333723382E-2</v>
      </c>
      <c r="E1013" s="40">
        <v>44874</v>
      </c>
      <c r="F1013" s="24">
        <v>32.159999999999997</v>
      </c>
      <c r="G1013" s="81">
        <f t="shared" si="31"/>
        <v>0.12173003139169847</v>
      </c>
      <c r="L1013" s="40">
        <v>44874</v>
      </c>
      <c r="M1013" s="43">
        <v>-2.0777899999999998E-2</v>
      </c>
      <c r="N1013" s="1">
        <v>0.12173003139169847</v>
      </c>
    </row>
    <row r="1014" spans="2:14">
      <c r="B1014" s="40">
        <v>44875</v>
      </c>
      <c r="C1014" s="47">
        <v>3956.37</v>
      </c>
      <c r="D1014" s="81">
        <f t="shared" si="30"/>
        <v>5.5434472345454289E-2</v>
      </c>
      <c r="E1014" s="40">
        <v>44875</v>
      </c>
      <c r="F1014" s="24">
        <v>33.549999</v>
      </c>
      <c r="G1014" s="81">
        <f t="shared" si="31"/>
        <v>4.3221361940298575E-2</v>
      </c>
      <c r="L1014" s="40">
        <v>44875</v>
      </c>
      <c r="M1014" s="43">
        <v>5.5434499999999998E-2</v>
      </c>
      <c r="N1014" s="1">
        <v>4.3221361940298575E-2</v>
      </c>
    </row>
    <row r="1015" spans="2:14">
      <c r="B1015" s="40">
        <v>44876</v>
      </c>
      <c r="C1015" s="47">
        <v>3992.93</v>
      </c>
      <c r="D1015" s="81">
        <f t="shared" si="30"/>
        <v>9.2407939601200084E-3</v>
      </c>
      <c r="E1015" s="40">
        <v>44876</v>
      </c>
      <c r="F1015" s="24">
        <v>33.099997999999999</v>
      </c>
      <c r="G1015" s="81">
        <f t="shared" si="31"/>
        <v>-1.3412846897551289E-2</v>
      </c>
      <c r="L1015" s="40">
        <v>44876</v>
      </c>
      <c r="M1015" s="43">
        <v>9.2408000000000004E-3</v>
      </c>
      <c r="N1015" s="1">
        <v>-1.3412846897551289E-2</v>
      </c>
    </row>
    <row r="1016" spans="2:14">
      <c r="B1016" s="40">
        <v>44879</v>
      </c>
      <c r="C1016" s="47">
        <v>3957.25</v>
      </c>
      <c r="D1016" s="81">
        <f t="shared" si="30"/>
        <v>-8.9357940159231486E-3</v>
      </c>
      <c r="E1016" s="40">
        <v>44879</v>
      </c>
      <c r="F1016" s="24">
        <v>33.630001</v>
      </c>
      <c r="G1016" s="81">
        <f t="shared" si="31"/>
        <v>1.6012176194089234E-2</v>
      </c>
      <c r="L1016" s="40">
        <v>44879</v>
      </c>
      <c r="M1016" s="43">
        <v>-8.9358000000000007E-3</v>
      </c>
      <c r="N1016" s="1">
        <v>1.6012176194089234E-2</v>
      </c>
    </row>
    <row r="1017" spans="2:14">
      <c r="B1017" s="40">
        <v>44880</v>
      </c>
      <c r="C1017" s="47">
        <v>3991.73</v>
      </c>
      <c r="D1017" s="81">
        <f t="shared" si="30"/>
        <v>8.7131214858804373E-3</v>
      </c>
      <c r="E1017" s="40">
        <v>44880</v>
      </c>
      <c r="F1017" s="24">
        <v>33.450001</v>
      </c>
      <c r="G1017" s="81">
        <f t="shared" si="31"/>
        <v>-5.3523638015948727E-3</v>
      </c>
      <c r="L1017" s="40">
        <v>44880</v>
      </c>
      <c r="M1017" s="43">
        <v>8.7130999999999997E-3</v>
      </c>
      <c r="N1017" s="1">
        <v>-5.3523638015948727E-3</v>
      </c>
    </row>
    <row r="1018" spans="2:14">
      <c r="B1018" s="40">
        <v>44881</v>
      </c>
      <c r="C1018" s="47">
        <v>3958.79</v>
      </c>
      <c r="D1018" s="81">
        <f t="shared" si="30"/>
        <v>-8.2520611363995355E-3</v>
      </c>
      <c r="E1018" s="40">
        <v>44881</v>
      </c>
      <c r="F1018" s="24">
        <v>33.840000000000003</v>
      </c>
      <c r="G1018" s="81">
        <f t="shared" si="31"/>
        <v>1.165916258119104E-2</v>
      </c>
      <c r="L1018" s="40">
        <v>44881</v>
      </c>
      <c r="M1018" s="43">
        <v>-8.2521000000000001E-3</v>
      </c>
      <c r="N1018" s="1">
        <v>1.165916258119104E-2</v>
      </c>
    </row>
    <row r="1019" spans="2:14">
      <c r="B1019" s="40">
        <v>44882</v>
      </c>
      <c r="C1019" s="47">
        <v>3946.56</v>
      </c>
      <c r="D1019" s="81">
        <f t="shared" si="30"/>
        <v>-3.0893277996559831E-3</v>
      </c>
      <c r="E1019" s="40">
        <v>44882</v>
      </c>
      <c r="F1019" s="24">
        <v>32.580002</v>
      </c>
      <c r="G1019" s="81">
        <f t="shared" si="31"/>
        <v>-3.7233983451536723E-2</v>
      </c>
      <c r="L1019" s="40">
        <v>44882</v>
      </c>
      <c r="M1019" s="43">
        <v>-3.0893000000000001E-3</v>
      </c>
      <c r="N1019" s="1">
        <v>-3.7233983451536723E-2</v>
      </c>
    </row>
    <row r="1020" spans="2:14">
      <c r="B1020" s="40">
        <v>44883</v>
      </c>
      <c r="C1020" s="47">
        <v>3965.34</v>
      </c>
      <c r="D1020" s="81">
        <f t="shared" si="30"/>
        <v>4.7585745560692061E-3</v>
      </c>
      <c r="E1020" s="40">
        <v>44883</v>
      </c>
      <c r="F1020" s="24">
        <v>32.860000999999997</v>
      </c>
      <c r="G1020" s="81">
        <f t="shared" si="31"/>
        <v>8.5941983674524547E-3</v>
      </c>
      <c r="L1020" s="40">
        <v>44883</v>
      </c>
      <c r="M1020" s="43">
        <v>4.7586E-3</v>
      </c>
      <c r="N1020" s="1">
        <v>8.5941983674524547E-3</v>
      </c>
    </row>
    <row r="1021" spans="2:14">
      <c r="B1021" s="40">
        <v>44886</v>
      </c>
      <c r="C1021" s="47">
        <v>3949.94</v>
      </c>
      <c r="D1021" s="81">
        <f t="shared" si="30"/>
        <v>-3.8836518432215916E-3</v>
      </c>
      <c r="E1021" s="40">
        <v>44886</v>
      </c>
      <c r="F1021" s="24">
        <v>32.630001</v>
      </c>
      <c r="G1021" s="81">
        <f t="shared" si="31"/>
        <v>-6.9993911442667311E-3</v>
      </c>
      <c r="L1021" s="40">
        <v>44886</v>
      </c>
      <c r="M1021" s="43">
        <v>-3.8836999999999999E-3</v>
      </c>
      <c r="N1021" s="1">
        <v>-6.9993911442667311E-3</v>
      </c>
    </row>
    <row r="1022" spans="2:14">
      <c r="B1022" s="40">
        <v>44887</v>
      </c>
      <c r="C1022" s="47">
        <v>4003.58</v>
      </c>
      <c r="D1022" s="81">
        <f t="shared" si="30"/>
        <v>1.3579953113211918E-2</v>
      </c>
      <c r="E1022" s="40">
        <v>44887</v>
      </c>
      <c r="F1022" s="24">
        <v>33.020000000000003</v>
      </c>
      <c r="G1022" s="81">
        <f t="shared" si="31"/>
        <v>1.1952160222121977E-2</v>
      </c>
      <c r="L1022" s="40">
        <v>44887</v>
      </c>
      <c r="M1022" s="43">
        <v>1.358E-2</v>
      </c>
      <c r="N1022" s="1">
        <v>1.1952160222121977E-2</v>
      </c>
    </row>
    <row r="1023" spans="2:14">
      <c r="B1023" s="40">
        <v>44888</v>
      </c>
      <c r="C1023" s="47">
        <v>4027.26</v>
      </c>
      <c r="D1023" s="81">
        <f t="shared" si="30"/>
        <v>5.9147063378277576E-3</v>
      </c>
      <c r="E1023" s="40">
        <v>44888</v>
      </c>
      <c r="F1023" s="24">
        <v>32.779998999999997</v>
      </c>
      <c r="G1023" s="81">
        <f t="shared" si="31"/>
        <v>-7.26835251362834E-3</v>
      </c>
      <c r="L1023" s="40">
        <v>44888</v>
      </c>
      <c r="M1023" s="43">
        <v>5.9147000000000002E-3</v>
      </c>
      <c r="N1023" s="1">
        <v>-7.26835251362834E-3</v>
      </c>
    </row>
    <row r="1024" spans="2:14">
      <c r="B1024" s="40">
        <v>44890</v>
      </c>
      <c r="C1024" s="47">
        <v>4026.12</v>
      </c>
      <c r="D1024" s="81">
        <f t="shared" si="30"/>
        <v>-2.830708720074071E-4</v>
      </c>
      <c r="E1024" s="40">
        <v>44890</v>
      </c>
      <c r="F1024" s="24">
        <v>33.389999000000003</v>
      </c>
      <c r="G1024" s="81">
        <f t="shared" si="31"/>
        <v>1.8608908438344063E-2</v>
      </c>
      <c r="L1024" s="40">
        <v>44890</v>
      </c>
      <c r="M1024" s="43">
        <v>-2.831E-4</v>
      </c>
      <c r="N1024" s="1">
        <v>1.8608908438344063E-2</v>
      </c>
    </row>
    <row r="1025" spans="2:14">
      <c r="B1025" s="40">
        <v>44893</v>
      </c>
      <c r="C1025" s="47">
        <v>3963.94</v>
      </c>
      <c r="D1025" s="81">
        <f t="shared" si="30"/>
        <v>-1.5444149702443011E-2</v>
      </c>
      <c r="E1025" s="40">
        <v>44893</v>
      </c>
      <c r="F1025" s="24">
        <v>33.830002</v>
      </c>
      <c r="G1025" s="81">
        <f t="shared" si="31"/>
        <v>1.3177688325177739E-2</v>
      </c>
      <c r="L1025" s="40">
        <v>44893</v>
      </c>
      <c r="M1025" s="43">
        <v>-1.5444100000000001E-2</v>
      </c>
      <c r="N1025" s="1">
        <v>1.3177688325177739E-2</v>
      </c>
    </row>
    <row r="1026" spans="2:14">
      <c r="B1026" s="40">
        <v>44894</v>
      </c>
      <c r="C1026" s="47">
        <v>3957.63</v>
      </c>
      <c r="D1026" s="81">
        <f t="shared" si="30"/>
        <v>-1.5918505325509535E-3</v>
      </c>
      <c r="E1026" s="40">
        <v>44894</v>
      </c>
      <c r="F1026" s="24">
        <v>33.509998000000003</v>
      </c>
      <c r="G1026" s="81">
        <f t="shared" si="31"/>
        <v>-9.4591776849436426E-3</v>
      </c>
      <c r="L1026" s="40">
        <v>44894</v>
      </c>
      <c r="M1026" s="43">
        <v>-1.5919E-3</v>
      </c>
      <c r="N1026" s="1">
        <v>-9.4591776849436426E-3</v>
      </c>
    </row>
    <row r="1027" spans="2:14">
      <c r="B1027" s="40">
        <v>44895</v>
      </c>
      <c r="C1027" s="47">
        <v>4080.11</v>
      </c>
      <c r="D1027" s="81">
        <f t="shared" si="30"/>
        <v>3.0947814727501077E-2</v>
      </c>
      <c r="E1027" s="40">
        <v>44895</v>
      </c>
      <c r="F1027" s="24">
        <v>34.330002</v>
      </c>
      <c r="G1027" s="81">
        <f t="shared" si="31"/>
        <v>2.4470428198772209E-2</v>
      </c>
      <c r="L1027" s="40">
        <v>44895</v>
      </c>
      <c r="M1027" s="43">
        <v>3.0947800000000001E-2</v>
      </c>
      <c r="N1027" s="1">
        <v>2.4470428198772209E-2</v>
      </c>
    </row>
    <row r="1028" spans="2:14">
      <c r="B1028" s="40">
        <v>44896</v>
      </c>
      <c r="C1028" s="47">
        <v>4076.57</v>
      </c>
      <c r="D1028" s="81">
        <f t="shared" si="30"/>
        <v>-8.6762366700898763E-4</v>
      </c>
      <c r="E1028" s="40">
        <v>44896</v>
      </c>
      <c r="F1028" s="24">
        <v>34.110000999999997</v>
      </c>
      <c r="G1028" s="81">
        <f t="shared" si="31"/>
        <v>-6.4084179196961522E-3</v>
      </c>
      <c r="L1028" s="40">
        <v>44896</v>
      </c>
      <c r="M1028" s="43">
        <v>-8.6759999999999995E-4</v>
      </c>
      <c r="N1028" s="1">
        <v>-6.4084179196961522E-3</v>
      </c>
    </row>
    <row r="1029" spans="2:14">
      <c r="B1029" s="40">
        <v>44897</v>
      </c>
      <c r="C1029" s="47">
        <v>4071.7</v>
      </c>
      <c r="D1029" s="81">
        <f t="shared" si="30"/>
        <v>-1.1946317615054713E-3</v>
      </c>
      <c r="E1029" s="40">
        <v>44897</v>
      </c>
      <c r="F1029" s="24">
        <v>34.520000000000003</v>
      </c>
      <c r="G1029" s="81">
        <f t="shared" si="31"/>
        <v>1.2019905833482891E-2</v>
      </c>
      <c r="L1029" s="40">
        <v>44897</v>
      </c>
      <c r="M1029" s="43">
        <v>-1.1946000000000001E-3</v>
      </c>
      <c r="N1029" s="1">
        <v>1.2019905833482891E-2</v>
      </c>
    </row>
    <row r="1030" spans="2:14">
      <c r="B1030" s="40">
        <v>44900</v>
      </c>
      <c r="C1030" s="47">
        <v>3998.84</v>
      </c>
      <c r="D1030" s="81">
        <f t="shared" ref="D1030:D1093" si="32">C1030/C1029-1</f>
        <v>-1.7894245646781326E-2</v>
      </c>
      <c r="E1030" s="40">
        <v>44900</v>
      </c>
      <c r="F1030" s="24">
        <v>33.75</v>
      </c>
      <c r="G1030" s="81">
        <f t="shared" ref="G1030:G1093" si="33">F1030/F1029-1</f>
        <v>-2.2305909617613029E-2</v>
      </c>
      <c r="L1030" s="40">
        <v>44900</v>
      </c>
      <c r="M1030" s="43">
        <v>-1.7894199999999999E-2</v>
      </c>
      <c r="N1030" s="1">
        <v>-2.2305909617613029E-2</v>
      </c>
    </row>
    <row r="1031" spans="2:14">
      <c r="B1031" s="40">
        <v>44901</v>
      </c>
      <c r="C1031" s="47">
        <v>3941.26</v>
      </c>
      <c r="D1031" s="81">
        <f t="shared" si="32"/>
        <v>-1.4399175760970717E-2</v>
      </c>
      <c r="E1031" s="40">
        <v>44901</v>
      </c>
      <c r="F1031" s="24">
        <v>33.919998</v>
      </c>
      <c r="G1031" s="81">
        <f t="shared" si="33"/>
        <v>5.0369777777776736E-3</v>
      </c>
      <c r="L1031" s="40">
        <v>44901</v>
      </c>
      <c r="M1031" s="43">
        <v>-1.4399199999999999E-2</v>
      </c>
      <c r="N1031" s="1">
        <v>5.0369777777776736E-3</v>
      </c>
    </row>
    <row r="1032" spans="2:14">
      <c r="B1032" s="40">
        <v>44902</v>
      </c>
      <c r="C1032" s="47">
        <v>3933.92</v>
      </c>
      <c r="D1032" s="81">
        <f t="shared" si="32"/>
        <v>-1.8623485890298941E-3</v>
      </c>
      <c r="E1032" s="40">
        <v>44902</v>
      </c>
      <c r="F1032" s="24">
        <v>33.75</v>
      </c>
      <c r="G1032" s="81">
        <f t="shared" si="33"/>
        <v>-5.0117337860692279E-3</v>
      </c>
      <c r="L1032" s="40">
        <v>44902</v>
      </c>
      <c r="M1032" s="43">
        <v>-1.8622999999999999E-3</v>
      </c>
      <c r="N1032" s="1">
        <v>-5.0117337860692279E-3</v>
      </c>
    </row>
    <row r="1033" spans="2:14">
      <c r="B1033" s="40">
        <v>44903</v>
      </c>
      <c r="C1033" s="47">
        <v>3963.51</v>
      </c>
      <c r="D1033" s="81">
        <f t="shared" si="32"/>
        <v>7.5217594663847809E-3</v>
      </c>
      <c r="E1033" s="40">
        <v>44903</v>
      </c>
      <c r="F1033" s="24">
        <v>34.639999000000003</v>
      </c>
      <c r="G1033" s="81">
        <f t="shared" si="33"/>
        <v>2.6370340740740739E-2</v>
      </c>
      <c r="L1033" s="40">
        <v>44903</v>
      </c>
      <c r="M1033" s="43">
        <v>7.5218000000000004E-3</v>
      </c>
      <c r="N1033" s="1">
        <v>2.6370340740740739E-2</v>
      </c>
    </row>
    <row r="1034" spans="2:14">
      <c r="B1034" s="40">
        <v>44904</v>
      </c>
      <c r="C1034" s="47">
        <v>3934.38</v>
      </c>
      <c r="D1034" s="81">
        <f t="shared" si="32"/>
        <v>-7.3495462355336327E-3</v>
      </c>
      <c r="E1034" s="40">
        <v>44904</v>
      </c>
      <c r="F1034" s="24">
        <v>33.75</v>
      </c>
      <c r="G1034" s="81">
        <f t="shared" si="33"/>
        <v>-2.5692812520000441E-2</v>
      </c>
      <c r="L1034" s="40">
        <v>44904</v>
      </c>
      <c r="M1034" s="43">
        <v>-7.3495000000000001E-3</v>
      </c>
      <c r="N1034" s="1">
        <v>-2.5692812520000441E-2</v>
      </c>
    </row>
    <row r="1035" spans="2:14">
      <c r="B1035" s="40">
        <v>44907</v>
      </c>
      <c r="C1035" s="47">
        <v>3990.56</v>
      </c>
      <c r="D1035" s="81">
        <f t="shared" si="32"/>
        <v>1.4279251114533986E-2</v>
      </c>
      <c r="E1035" s="40">
        <v>44907</v>
      </c>
      <c r="F1035" s="24">
        <v>33.979999999999997</v>
      </c>
      <c r="G1035" s="81">
        <f t="shared" si="33"/>
        <v>6.8148148148148291E-3</v>
      </c>
      <c r="L1035" s="40">
        <v>44907</v>
      </c>
      <c r="M1035" s="43">
        <v>1.42793E-2</v>
      </c>
      <c r="N1035" s="1">
        <v>6.8148148148148291E-3</v>
      </c>
    </row>
    <row r="1036" spans="2:14">
      <c r="B1036" s="40">
        <v>44908</v>
      </c>
      <c r="C1036" s="47">
        <v>4019.65</v>
      </c>
      <c r="D1036" s="81">
        <f t="shared" si="32"/>
        <v>7.289703700733785E-3</v>
      </c>
      <c r="E1036" s="40">
        <v>44908</v>
      </c>
      <c r="F1036" s="24">
        <v>34.159999999999997</v>
      </c>
      <c r="G1036" s="81">
        <f t="shared" si="33"/>
        <v>5.297233666862855E-3</v>
      </c>
      <c r="L1036" s="40">
        <v>44908</v>
      </c>
      <c r="M1036" s="43">
        <v>7.2896999999999997E-3</v>
      </c>
      <c r="N1036" s="1">
        <v>5.297233666862855E-3</v>
      </c>
    </row>
    <row r="1037" spans="2:14">
      <c r="B1037" s="40">
        <v>44909</v>
      </c>
      <c r="C1037" s="47">
        <v>3995.32</v>
      </c>
      <c r="D1037" s="81">
        <f t="shared" si="32"/>
        <v>-6.0527657880661279E-3</v>
      </c>
      <c r="E1037" s="40">
        <v>44909</v>
      </c>
      <c r="F1037" s="24">
        <v>34.060001</v>
      </c>
      <c r="G1037" s="81">
        <f t="shared" si="33"/>
        <v>-2.9273711943792469E-3</v>
      </c>
      <c r="L1037" s="40">
        <v>44909</v>
      </c>
      <c r="M1037" s="43">
        <v>-6.0527999999999997E-3</v>
      </c>
      <c r="N1037" s="1">
        <v>-2.9273711943792469E-3</v>
      </c>
    </row>
    <row r="1038" spans="2:14">
      <c r="B1038" s="40">
        <v>44910</v>
      </c>
      <c r="C1038" s="47">
        <v>3895.75</v>
      </c>
      <c r="D1038" s="81">
        <f t="shared" si="32"/>
        <v>-2.4921658340258168E-2</v>
      </c>
      <c r="E1038" s="40">
        <v>44910</v>
      </c>
      <c r="F1038" s="24">
        <v>33.400002000000001</v>
      </c>
      <c r="G1038" s="81">
        <f t="shared" si="33"/>
        <v>-1.9377539067012894E-2</v>
      </c>
      <c r="L1038" s="40">
        <v>44910</v>
      </c>
      <c r="M1038" s="43">
        <v>-2.4921700000000001E-2</v>
      </c>
      <c r="N1038" s="1">
        <v>-1.9377539067012894E-2</v>
      </c>
    </row>
    <row r="1039" spans="2:14">
      <c r="B1039" s="40">
        <v>44911</v>
      </c>
      <c r="C1039" s="47">
        <v>3852.36</v>
      </c>
      <c r="D1039" s="81">
        <f t="shared" si="32"/>
        <v>-1.1137778348199956E-2</v>
      </c>
      <c r="E1039" s="40">
        <v>44911</v>
      </c>
      <c r="F1039" s="24">
        <v>33.479999999999997</v>
      </c>
      <c r="G1039" s="81">
        <f t="shared" si="33"/>
        <v>2.395149557176568E-3</v>
      </c>
      <c r="L1039" s="40">
        <v>44911</v>
      </c>
      <c r="M1039" s="43">
        <v>-1.11378E-2</v>
      </c>
      <c r="N1039" s="1">
        <v>2.395149557176568E-3</v>
      </c>
    </row>
    <row r="1040" spans="2:14">
      <c r="B1040" s="40">
        <v>44914</v>
      </c>
      <c r="C1040" s="47">
        <v>3817.66</v>
      </c>
      <c r="D1040" s="81">
        <f t="shared" si="32"/>
        <v>-9.007465553582783E-3</v>
      </c>
      <c r="E1040" s="40">
        <v>44914</v>
      </c>
      <c r="F1040" s="24">
        <v>33.119999</v>
      </c>
      <c r="G1040" s="81">
        <f t="shared" si="33"/>
        <v>-1.0752718040621168E-2</v>
      </c>
      <c r="L1040" s="40">
        <v>44914</v>
      </c>
      <c r="M1040" s="43">
        <v>-9.0074999999999999E-3</v>
      </c>
      <c r="N1040" s="1">
        <v>-1.0752718040621168E-2</v>
      </c>
    </row>
    <row r="1041" spans="2:14">
      <c r="B1041" s="40">
        <v>44915</v>
      </c>
      <c r="C1041" s="47">
        <v>3821.62</v>
      </c>
      <c r="D1041" s="81">
        <f t="shared" si="32"/>
        <v>1.0372846193742458E-3</v>
      </c>
      <c r="E1041" s="40">
        <v>44915</v>
      </c>
      <c r="F1041" s="24">
        <v>33.310001</v>
      </c>
      <c r="G1041" s="81">
        <f t="shared" si="33"/>
        <v>5.7367755355306471E-3</v>
      </c>
      <c r="L1041" s="40">
        <v>44915</v>
      </c>
      <c r="M1041" s="43">
        <v>1.0372999999999999E-3</v>
      </c>
      <c r="N1041" s="1">
        <v>5.7367755355306471E-3</v>
      </c>
    </row>
    <row r="1042" spans="2:14">
      <c r="B1042" s="40">
        <v>44916</v>
      </c>
      <c r="C1042" s="47">
        <v>3878.44</v>
      </c>
      <c r="D1042" s="81">
        <f t="shared" si="32"/>
        <v>1.4868040255179737E-2</v>
      </c>
      <c r="E1042" s="40">
        <v>44916</v>
      </c>
      <c r="F1042" s="24">
        <v>33.790000999999997</v>
      </c>
      <c r="G1042" s="81">
        <f t="shared" si="33"/>
        <v>1.4410086628337204E-2</v>
      </c>
      <c r="L1042" s="40">
        <v>44916</v>
      </c>
      <c r="M1042" s="43">
        <v>1.4867999999999999E-2</v>
      </c>
      <c r="N1042" s="1">
        <v>1.4410086628337204E-2</v>
      </c>
    </row>
    <row r="1043" spans="2:14">
      <c r="B1043" s="40">
        <v>44917</v>
      </c>
      <c r="C1043" s="47">
        <v>3822.39</v>
      </c>
      <c r="D1043" s="81">
        <f t="shared" si="32"/>
        <v>-1.4451686760656446E-2</v>
      </c>
      <c r="E1043" s="40">
        <v>44917</v>
      </c>
      <c r="F1043" s="24">
        <v>33.369999</v>
      </c>
      <c r="G1043" s="81">
        <f t="shared" si="33"/>
        <v>-1.2429771754075891E-2</v>
      </c>
      <c r="L1043" s="40">
        <v>44917</v>
      </c>
      <c r="M1043" s="43">
        <v>-1.44517E-2</v>
      </c>
      <c r="N1043" s="1">
        <v>-1.2429771754075891E-2</v>
      </c>
    </row>
    <row r="1044" spans="2:14">
      <c r="B1044" s="40">
        <v>44918</v>
      </c>
      <c r="C1044" s="47">
        <v>3844.82</v>
      </c>
      <c r="D1044" s="81">
        <f t="shared" si="32"/>
        <v>5.8680563731070556E-3</v>
      </c>
      <c r="E1044" s="40">
        <v>44918</v>
      </c>
      <c r="F1044" s="24">
        <v>33.709999000000003</v>
      </c>
      <c r="G1044" s="81">
        <f t="shared" si="33"/>
        <v>1.0188792633766708E-2</v>
      </c>
      <c r="L1044" s="40">
        <v>44918</v>
      </c>
      <c r="M1044" s="43">
        <v>5.8681000000000002E-3</v>
      </c>
      <c r="N1044" s="1">
        <v>1.0188792633766708E-2</v>
      </c>
    </row>
    <row r="1045" spans="2:14">
      <c r="B1045" s="40">
        <v>44922</v>
      </c>
      <c r="C1045" s="47">
        <v>3829.25</v>
      </c>
      <c r="D1045" s="81">
        <f t="shared" si="32"/>
        <v>-4.0496044028068834E-3</v>
      </c>
      <c r="E1045" s="40">
        <v>44922</v>
      </c>
      <c r="F1045" s="24">
        <v>33.270000000000003</v>
      </c>
      <c r="G1045" s="81">
        <f t="shared" si="33"/>
        <v>-1.3052477396988338E-2</v>
      </c>
      <c r="L1045" s="40">
        <v>44922</v>
      </c>
      <c r="M1045" s="43">
        <v>-4.0496000000000004E-3</v>
      </c>
      <c r="N1045" s="1">
        <v>-1.3052477396988338E-2</v>
      </c>
    </row>
    <row r="1046" spans="2:14">
      <c r="B1046" s="40">
        <v>44923</v>
      </c>
      <c r="C1046" s="47">
        <v>3783.22</v>
      </c>
      <c r="D1046" s="81">
        <f t="shared" si="32"/>
        <v>-1.202063067180259E-2</v>
      </c>
      <c r="E1046" s="40">
        <v>44923</v>
      </c>
      <c r="F1046" s="24">
        <v>32.529998999999997</v>
      </c>
      <c r="G1046" s="81">
        <f t="shared" si="33"/>
        <v>-2.2242290351668359E-2</v>
      </c>
      <c r="L1046" s="40">
        <v>44923</v>
      </c>
      <c r="M1046" s="43">
        <v>-1.2020599999999999E-2</v>
      </c>
      <c r="N1046" s="1">
        <v>-2.2242290351668359E-2</v>
      </c>
    </row>
    <row r="1047" spans="2:14">
      <c r="B1047" s="40">
        <v>44924</v>
      </c>
      <c r="C1047" s="47">
        <v>3849.28</v>
      </c>
      <c r="D1047" s="81">
        <f t="shared" si="32"/>
        <v>1.7461316021801565E-2</v>
      </c>
      <c r="E1047" s="40">
        <v>44924</v>
      </c>
      <c r="F1047" s="24">
        <v>32.619999</v>
      </c>
      <c r="G1047" s="81">
        <f t="shared" si="33"/>
        <v>2.7666769986682826E-3</v>
      </c>
      <c r="L1047" s="40">
        <v>44924</v>
      </c>
      <c r="M1047" s="43">
        <v>1.7461299999999999E-2</v>
      </c>
      <c r="N1047" s="1">
        <v>2.7666769986682826E-3</v>
      </c>
    </row>
    <row r="1048" spans="2:14">
      <c r="B1048" s="40">
        <v>44925</v>
      </c>
      <c r="C1048" s="47">
        <v>3839.5</v>
      </c>
      <c r="D1048" s="81">
        <f t="shared" si="32"/>
        <v>-2.5407348906808513E-3</v>
      </c>
      <c r="E1048" s="40">
        <v>44925</v>
      </c>
      <c r="F1048" s="24">
        <v>32.369999</v>
      </c>
      <c r="G1048" s="81">
        <f t="shared" si="33"/>
        <v>-7.6640100448807091E-3</v>
      </c>
      <c r="L1048" s="40">
        <v>44925</v>
      </c>
      <c r="M1048" s="43">
        <v>-2.5406999999999999E-3</v>
      </c>
      <c r="N1048" s="1">
        <v>-7.6640100448807091E-3</v>
      </c>
    </row>
    <row r="1049" spans="2:14">
      <c r="B1049" s="40">
        <v>44929</v>
      </c>
      <c r="C1049" s="47">
        <v>3824.14</v>
      </c>
      <c r="D1049" s="81">
        <f t="shared" si="32"/>
        <v>-4.0005209011589882E-3</v>
      </c>
      <c r="E1049" s="40">
        <v>44929</v>
      </c>
      <c r="F1049" s="24">
        <v>30.92</v>
      </c>
      <c r="G1049" s="81">
        <f t="shared" si="33"/>
        <v>-4.4794533357878641E-2</v>
      </c>
      <c r="L1049" s="40">
        <v>44929</v>
      </c>
      <c r="M1049" s="43">
        <v>-4.0004999999999997E-3</v>
      </c>
      <c r="N1049" s="1">
        <v>-4.4794533357878641E-2</v>
      </c>
    </row>
    <row r="1050" spans="2:14">
      <c r="B1050" s="40">
        <v>44930</v>
      </c>
      <c r="C1050" s="47">
        <v>3852.97</v>
      </c>
      <c r="D1050" s="81">
        <f t="shared" si="32"/>
        <v>7.5389499338414101E-3</v>
      </c>
      <c r="E1050" s="40">
        <v>44930</v>
      </c>
      <c r="F1050" s="24">
        <v>30.940000999999999</v>
      </c>
      <c r="G1050" s="81">
        <f t="shared" si="33"/>
        <v>6.4686287192738945E-4</v>
      </c>
      <c r="L1050" s="40">
        <v>44930</v>
      </c>
      <c r="M1050" s="43">
        <v>7.5389000000000003E-3</v>
      </c>
      <c r="N1050" s="1">
        <v>6.4686287192738945E-4</v>
      </c>
    </row>
    <row r="1051" spans="2:14">
      <c r="B1051" s="40">
        <v>44931</v>
      </c>
      <c r="C1051" s="47">
        <v>3808.1</v>
      </c>
      <c r="D1051" s="81">
        <f t="shared" si="32"/>
        <v>-1.164556173549236E-2</v>
      </c>
      <c r="E1051" s="40">
        <v>44931</v>
      </c>
      <c r="F1051" s="24">
        <v>30.68</v>
      </c>
      <c r="G1051" s="81">
        <f t="shared" si="33"/>
        <v>-8.4033933935554472E-3</v>
      </c>
      <c r="L1051" s="40">
        <v>44931</v>
      </c>
      <c r="M1051" s="43">
        <v>-1.1645600000000001E-2</v>
      </c>
      <c r="N1051" s="1">
        <v>-8.4033933935554472E-3</v>
      </c>
    </row>
    <row r="1052" spans="2:14">
      <c r="B1052" s="40">
        <v>44932</v>
      </c>
      <c r="C1052" s="47">
        <v>3895.08</v>
      </c>
      <c r="D1052" s="81">
        <f t="shared" si="32"/>
        <v>2.284078674404566E-2</v>
      </c>
      <c r="E1052" s="40">
        <v>44932</v>
      </c>
      <c r="F1052" s="24">
        <v>31.709999</v>
      </c>
      <c r="G1052" s="81">
        <f t="shared" si="33"/>
        <v>3.357232724902226E-2</v>
      </c>
      <c r="L1052" s="40">
        <v>44932</v>
      </c>
      <c r="M1052" s="43">
        <v>2.2840800000000001E-2</v>
      </c>
      <c r="N1052" s="1">
        <v>3.357232724902226E-2</v>
      </c>
    </row>
    <row r="1053" spans="2:14">
      <c r="B1053" s="40">
        <v>44935</v>
      </c>
      <c r="C1053" s="47">
        <v>3892.09</v>
      </c>
      <c r="D1053" s="81">
        <f t="shared" si="32"/>
        <v>-7.6763506782906443E-4</v>
      </c>
      <c r="E1053" s="40">
        <v>44935</v>
      </c>
      <c r="F1053" s="24">
        <v>31.370000999999998</v>
      </c>
      <c r="G1053" s="81">
        <f t="shared" si="33"/>
        <v>-1.0722106929110908E-2</v>
      </c>
      <c r="L1053" s="40">
        <v>44935</v>
      </c>
      <c r="M1053" s="43">
        <v>-7.6760000000000001E-4</v>
      </c>
      <c r="N1053" s="1">
        <v>-1.0722106929110908E-2</v>
      </c>
    </row>
    <row r="1054" spans="2:14">
      <c r="B1054" s="40">
        <v>44936</v>
      </c>
      <c r="C1054" s="47">
        <v>3919.25</v>
      </c>
      <c r="D1054" s="81">
        <f t="shared" si="32"/>
        <v>6.9782558985018728E-3</v>
      </c>
      <c r="E1054" s="40">
        <v>44936</v>
      </c>
      <c r="F1054" s="24">
        <v>32.090000000000003</v>
      </c>
      <c r="G1054" s="81">
        <f t="shared" si="33"/>
        <v>2.2951832229779257E-2</v>
      </c>
      <c r="L1054" s="40">
        <v>44936</v>
      </c>
      <c r="M1054" s="43">
        <v>6.9782999999999998E-3</v>
      </c>
      <c r="N1054" s="1">
        <v>2.2951832229779257E-2</v>
      </c>
    </row>
    <row r="1055" spans="2:14">
      <c r="B1055" s="40">
        <v>44937</v>
      </c>
      <c r="C1055" s="47">
        <v>3969.61</v>
      </c>
      <c r="D1055" s="81">
        <f t="shared" si="32"/>
        <v>1.2849397206098123E-2</v>
      </c>
      <c r="E1055" s="40">
        <v>44937</v>
      </c>
      <c r="F1055" s="24">
        <v>31.82</v>
      </c>
      <c r="G1055" s="81">
        <f t="shared" si="33"/>
        <v>-8.4138360860082084E-3</v>
      </c>
      <c r="L1055" s="40">
        <v>44937</v>
      </c>
      <c r="M1055" s="43">
        <v>1.28494E-2</v>
      </c>
      <c r="N1055" s="1">
        <v>-8.4138360860082084E-3</v>
      </c>
    </row>
    <row r="1056" spans="2:14">
      <c r="B1056" s="40">
        <v>44938</v>
      </c>
      <c r="C1056" s="47">
        <v>3983.17</v>
      </c>
      <c r="D1056" s="81">
        <f t="shared" si="32"/>
        <v>3.41595270064321E-3</v>
      </c>
      <c r="E1056" s="40">
        <v>44938</v>
      </c>
      <c r="F1056" s="24">
        <v>32.130001</v>
      </c>
      <c r="G1056" s="81">
        <f t="shared" si="33"/>
        <v>9.7423318667504422E-3</v>
      </c>
      <c r="L1056" s="40">
        <v>44938</v>
      </c>
      <c r="M1056" s="43">
        <v>3.4160000000000002E-3</v>
      </c>
      <c r="N1056" s="1">
        <v>9.7423318667504422E-3</v>
      </c>
    </row>
    <row r="1057" spans="2:14">
      <c r="B1057" s="40">
        <v>44939</v>
      </c>
      <c r="C1057" s="47">
        <v>3999.09</v>
      </c>
      <c r="D1057" s="81">
        <f t="shared" si="32"/>
        <v>3.9968166058692578E-3</v>
      </c>
      <c r="E1057" s="40">
        <v>44939</v>
      </c>
      <c r="F1057" s="24">
        <v>32</v>
      </c>
      <c r="G1057" s="81">
        <f t="shared" si="33"/>
        <v>-4.0460938672239877E-3</v>
      </c>
      <c r="L1057" s="40">
        <v>44939</v>
      </c>
      <c r="M1057" s="43">
        <v>3.9968E-3</v>
      </c>
      <c r="N1057" s="1">
        <v>-4.0460938672239877E-3</v>
      </c>
    </row>
    <row r="1058" spans="2:14">
      <c r="B1058" s="40">
        <v>44943</v>
      </c>
      <c r="C1058" s="47">
        <v>3990.97</v>
      </c>
      <c r="D1058" s="81">
        <f t="shared" si="32"/>
        <v>-2.0304619300891558E-3</v>
      </c>
      <c r="E1058" s="40">
        <v>44943</v>
      </c>
      <c r="F1058" s="24">
        <v>31.73</v>
      </c>
      <c r="G1058" s="81">
        <f t="shared" si="33"/>
        <v>-8.4374999999999867E-3</v>
      </c>
      <c r="L1058" s="40">
        <v>44943</v>
      </c>
      <c r="M1058" s="43">
        <v>-2.0305000000000002E-3</v>
      </c>
      <c r="N1058" s="1">
        <v>-8.4374999999999867E-3</v>
      </c>
    </row>
    <row r="1059" spans="2:14">
      <c r="B1059" s="40">
        <v>44944</v>
      </c>
      <c r="C1059" s="47">
        <v>3928.86</v>
      </c>
      <c r="D1059" s="81">
        <f t="shared" si="32"/>
        <v>-1.5562632643191909E-2</v>
      </c>
      <c r="E1059" s="40">
        <v>44944</v>
      </c>
      <c r="F1059" s="24">
        <v>31.139999</v>
      </c>
      <c r="G1059" s="81">
        <f t="shared" si="33"/>
        <v>-1.8594421682949891E-2</v>
      </c>
      <c r="L1059" s="40">
        <v>44944</v>
      </c>
      <c r="M1059" s="43">
        <v>-1.5562599999999999E-2</v>
      </c>
      <c r="N1059" s="1">
        <v>-1.8594421682949891E-2</v>
      </c>
    </row>
    <row r="1060" spans="2:14">
      <c r="B1060" s="40">
        <v>44945</v>
      </c>
      <c r="C1060" s="47">
        <v>3898.85</v>
      </c>
      <c r="D1060" s="81">
        <f t="shared" si="32"/>
        <v>-7.6383480195273412E-3</v>
      </c>
      <c r="E1060" s="40">
        <v>44945</v>
      </c>
      <c r="F1060" s="24">
        <v>30.120000999999998</v>
      </c>
      <c r="G1060" s="81">
        <f t="shared" si="33"/>
        <v>-3.2755235477046729E-2</v>
      </c>
      <c r="L1060" s="40">
        <v>44945</v>
      </c>
      <c r="M1060" s="43">
        <v>-7.6382999999999998E-3</v>
      </c>
      <c r="N1060" s="1">
        <v>-3.2755235477046729E-2</v>
      </c>
    </row>
    <row r="1061" spans="2:14">
      <c r="B1061" s="40">
        <v>44946</v>
      </c>
      <c r="C1061" s="47">
        <v>3972.61</v>
      </c>
      <c r="D1061" s="81">
        <f t="shared" si="32"/>
        <v>1.8918399015094289E-2</v>
      </c>
      <c r="E1061" s="40">
        <v>44946</v>
      </c>
      <c r="F1061" s="24">
        <v>31.200001</v>
      </c>
      <c r="G1061" s="81">
        <f t="shared" si="33"/>
        <v>3.5856572514722185E-2</v>
      </c>
      <c r="L1061" s="40">
        <v>44946</v>
      </c>
      <c r="M1061" s="43">
        <v>1.8918399999999998E-2</v>
      </c>
      <c r="N1061" s="1">
        <v>3.5856572514722185E-2</v>
      </c>
    </row>
    <row r="1062" spans="2:14">
      <c r="B1062" s="40">
        <v>44949</v>
      </c>
      <c r="C1062" s="47">
        <v>4019.81</v>
      </c>
      <c r="D1062" s="81">
        <f t="shared" si="32"/>
        <v>1.1881357596139619E-2</v>
      </c>
      <c r="E1062" s="40">
        <v>44949</v>
      </c>
      <c r="F1062" s="24">
        <v>31.389999</v>
      </c>
      <c r="G1062" s="81">
        <f t="shared" si="33"/>
        <v>6.0896792919973297E-3</v>
      </c>
      <c r="L1062" s="40">
        <v>44949</v>
      </c>
      <c r="M1062" s="43">
        <v>1.18814E-2</v>
      </c>
      <c r="N1062" s="1">
        <v>6.0896792919973297E-3</v>
      </c>
    </row>
    <row r="1063" spans="2:14">
      <c r="B1063" s="40">
        <v>44950</v>
      </c>
      <c r="C1063" s="47">
        <v>4016.95</v>
      </c>
      <c r="D1063" s="81">
        <f t="shared" si="32"/>
        <v>-7.1147641306434917E-4</v>
      </c>
      <c r="E1063" s="40">
        <v>44950</v>
      </c>
      <c r="F1063" s="24">
        <v>30.889999</v>
      </c>
      <c r="G1063" s="81">
        <f t="shared" si="33"/>
        <v>-1.592864020161322E-2</v>
      </c>
      <c r="L1063" s="40">
        <v>44950</v>
      </c>
      <c r="M1063" s="43">
        <v>-7.115E-4</v>
      </c>
      <c r="N1063" s="1">
        <v>-1.592864020161322E-2</v>
      </c>
    </row>
    <row r="1064" spans="2:14">
      <c r="B1064" s="40">
        <v>44951</v>
      </c>
      <c r="C1064" s="47">
        <v>4016.22</v>
      </c>
      <c r="D1064" s="81">
        <f t="shared" si="32"/>
        <v>-1.8172991946630024E-4</v>
      </c>
      <c r="E1064" s="40">
        <v>44951</v>
      </c>
      <c r="F1064" s="24">
        <v>31.4</v>
      </c>
      <c r="G1064" s="81">
        <f t="shared" si="33"/>
        <v>1.6510230382331903E-2</v>
      </c>
      <c r="L1064" s="40">
        <v>44951</v>
      </c>
      <c r="M1064" s="43">
        <v>-1.817E-4</v>
      </c>
      <c r="N1064" s="1">
        <v>1.6510230382331903E-2</v>
      </c>
    </row>
    <row r="1065" spans="2:14">
      <c r="B1065" s="40">
        <v>44952</v>
      </c>
      <c r="C1065" s="47">
        <v>4060.43</v>
      </c>
      <c r="D1065" s="81">
        <f t="shared" si="32"/>
        <v>1.1007863115068517E-2</v>
      </c>
      <c r="E1065" s="40">
        <v>44952</v>
      </c>
      <c r="F1065" s="24">
        <v>31.969999000000001</v>
      </c>
      <c r="G1065" s="81">
        <f t="shared" si="33"/>
        <v>1.8152834394904449E-2</v>
      </c>
      <c r="L1065" s="40">
        <v>44952</v>
      </c>
      <c r="M1065" s="43">
        <v>1.1007899999999999E-2</v>
      </c>
      <c r="N1065" s="1">
        <v>1.8152834394904449E-2</v>
      </c>
    </row>
    <row r="1066" spans="2:14">
      <c r="B1066" s="40">
        <v>44953</v>
      </c>
      <c r="C1066" s="47">
        <v>4070.56</v>
      </c>
      <c r="D1066" s="81">
        <f t="shared" si="32"/>
        <v>2.4948096630159622E-3</v>
      </c>
      <c r="E1066" s="40">
        <v>44953</v>
      </c>
      <c r="F1066" s="24">
        <v>32.209999000000003</v>
      </c>
      <c r="G1066" s="81">
        <f t="shared" si="33"/>
        <v>7.5070380827977345E-3</v>
      </c>
      <c r="L1066" s="40">
        <v>44953</v>
      </c>
      <c r="M1066" s="43">
        <v>2.4948000000000001E-3</v>
      </c>
      <c r="N1066" s="1">
        <v>7.5070380827977345E-3</v>
      </c>
    </row>
    <row r="1067" spans="2:14">
      <c r="B1067" s="40">
        <v>44956</v>
      </c>
      <c r="C1067" s="47">
        <v>4017.77</v>
      </c>
      <c r="D1067" s="81">
        <f t="shared" si="32"/>
        <v>-1.2968731575016657E-2</v>
      </c>
      <c r="E1067" s="40">
        <v>44956</v>
      </c>
      <c r="F1067" s="24">
        <v>31.67</v>
      </c>
      <c r="G1067" s="81">
        <f t="shared" si="33"/>
        <v>-1.6764949294161724E-2</v>
      </c>
      <c r="L1067" s="40">
        <v>44956</v>
      </c>
      <c r="M1067" s="43">
        <v>-1.29687E-2</v>
      </c>
      <c r="N1067" s="1">
        <v>-1.6764949294161724E-2</v>
      </c>
    </row>
    <row r="1068" spans="2:14">
      <c r="B1068" s="40">
        <v>44957</v>
      </c>
      <c r="C1068" s="47">
        <v>4076.6</v>
      </c>
      <c r="D1068" s="81">
        <f t="shared" si="32"/>
        <v>1.4642450911824145E-2</v>
      </c>
      <c r="E1068" s="40">
        <v>44957</v>
      </c>
      <c r="F1068" s="24">
        <v>31.950001</v>
      </c>
      <c r="G1068" s="81">
        <f t="shared" si="33"/>
        <v>8.841206188822115E-3</v>
      </c>
      <c r="L1068" s="40">
        <v>44957</v>
      </c>
      <c r="M1068" s="43">
        <v>1.4642499999999999E-2</v>
      </c>
      <c r="N1068" s="1">
        <v>8.841206188822115E-3</v>
      </c>
    </row>
    <row r="1069" spans="2:14">
      <c r="B1069" s="40">
        <v>44958</v>
      </c>
      <c r="C1069" s="47">
        <v>4119.21</v>
      </c>
      <c r="D1069" s="81">
        <f t="shared" si="32"/>
        <v>1.0452337732424155E-2</v>
      </c>
      <c r="E1069" s="40">
        <v>44958</v>
      </c>
      <c r="F1069" s="24">
        <v>32.060001</v>
      </c>
      <c r="G1069" s="81">
        <f t="shared" si="33"/>
        <v>3.4428793914591527E-3</v>
      </c>
      <c r="L1069" s="40">
        <v>44958</v>
      </c>
      <c r="M1069" s="43">
        <v>1.0452299999999999E-2</v>
      </c>
      <c r="N1069" s="1">
        <v>3.4428793914591527E-3</v>
      </c>
    </row>
    <row r="1070" spans="2:14">
      <c r="B1070" s="40">
        <v>44959</v>
      </c>
      <c r="C1070" s="47">
        <v>4179.76</v>
      </c>
      <c r="D1070" s="81">
        <f t="shared" si="32"/>
        <v>1.4699420519954209E-2</v>
      </c>
      <c r="E1070" s="40">
        <v>44959</v>
      </c>
      <c r="F1070" s="24">
        <v>32.630001</v>
      </c>
      <c r="G1070" s="81">
        <f t="shared" si="33"/>
        <v>1.7779163512814611E-2</v>
      </c>
      <c r="L1070" s="40">
        <v>44959</v>
      </c>
      <c r="M1070" s="43">
        <v>1.46994E-2</v>
      </c>
      <c r="N1070" s="1">
        <v>1.7779163512814611E-2</v>
      </c>
    </row>
    <row r="1071" spans="2:14">
      <c r="B1071" s="40">
        <v>44960</v>
      </c>
      <c r="C1071" s="47">
        <v>4136.4799999999996</v>
      </c>
      <c r="D1071" s="81">
        <f t="shared" si="32"/>
        <v>-1.0354661511665864E-2</v>
      </c>
      <c r="E1071" s="40">
        <v>44960</v>
      </c>
      <c r="F1071" s="24">
        <v>32.669998</v>
      </c>
      <c r="G1071" s="81">
        <f t="shared" si="33"/>
        <v>1.2257737901999466E-3</v>
      </c>
      <c r="L1071" s="40">
        <v>44960</v>
      </c>
      <c r="M1071" s="43">
        <v>-1.03547E-2</v>
      </c>
      <c r="N1071" s="1">
        <v>1.2257737901999466E-3</v>
      </c>
    </row>
    <row r="1072" spans="2:14">
      <c r="B1072" s="40">
        <v>44963</v>
      </c>
      <c r="C1072" s="47">
        <v>4111.08</v>
      </c>
      <c r="D1072" s="81">
        <f t="shared" si="32"/>
        <v>-6.1404865973000433E-3</v>
      </c>
      <c r="E1072" s="40">
        <v>44963</v>
      </c>
      <c r="F1072" s="24">
        <v>32.409999999999997</v>
      </c>
      <c r="G1072" s="81">
        <f t="shared" si="33"/>
        <v>-7.9583108636861466E-3</v>
      </c>
      <c r="L1072" s="40">
        <v>44963</v>
      </c>
      <c r="M1072" s="43">
        <v>-6.1405000000000001E-3</v>
      </c>
      <c r="N1072" s="1">
        <v>-7.9583108636861466E-3</v>
      </c>
    </row>
    <row r="1073" spans="2:14">
      <c r="B1073" s="40">
        <v>44964</v>
      </c>
      <c r="C1073" s="47">
        <v>4164</v>
      </c>
      <c r="D1073" s="81">
        <f t="shared" si="32"/>
        <v>1.2872529846171821E-2</v>
      </c>
      <c r="E1073" s="40">
        <v>44964</v>
      </c>
      <c r="F1073" s="24">
        <v>32.549999</v>
      </c>
      <c r="G1073" s="81">
        <f t="shared" si="33"/>
        <v>4.3196235729714427E-3</v>
      </c>
      <c r="L1073" s="40">
        <v>44964</v>
      </c>
      <c r="M1073" s="43">
        <v>1.28725E-2</v>
      </c>
      <c r="N1073" s="1">
        <v>4.3196235729714427E-3</v>
      </c>
    </row>
    <row r="1074" spans="2:14">
      <c r="B1074" s="40">
        <v>44965</v>
      </c>
      <c r="C1074" s="47">
        <v>4117.8599999999997</v>
      </c>
      <c r="D1074" s="81">
        <f t="shared" si="32"/>
        <v>-1.1080691642651352E-2</v>
      </c>
      <c r="E1074" s="40">
        <v>44965</v>
      </c>
      <c r="F1074" s="24">
        <v>32.200001</v>
      </c>
      <c r="G1074" s="81">
        <f t="shared" si="33"/>
        <v>-1.075262705845248E-2</v>
      </c>
      <c r="L1074" s="40">
        <v>44965</v>
      </c>
      <c r="M1074" s="43">
        <v>-1.1080700000000001E-2</v>
      </c>
      <c r="N1074" s="1">
        <v>-1.075262705845248E-2</v>
      </c>
    </row>
    <row r="1075" spans="2:14">
      <c r="B1075" s="40">
        <v>44966</v>
      </c>
      <c r="C1075" s="47">
        <v>4081.5</v>
      </c>
      <c r="D1075" s="81">
        <f t="shared" si="32"/>
        <v>-8.8298290859815109E-3</v>
      </c>
      <c r="E1075" s="40">
        <v>44966</v>
      </c>
      <c r="F1075" s="24">
        <v>32.439999</v>
      </c>
      <c r="G1075" s="81">
        <f t="shared" si="33"/>
        <v>7.45335380579637E-3</v>
      </c>
      <c r="L1075" s="40">
        <v>44966</v>
      </c>
      <c r="M1075" s="43">
        <v>-8.8298000000000005E-3</v>
      </c>
      <c r="N1075" s="1">
        <v>7.45335380579637E-3</v>
      </c>
    </row>
    <row r="1076" spans="2:14">
      <c r="B1076" s="40">
        <v>44967</v>
      </c>
      <c r="C1076" s="47">
        <v>4090.46</v>
      </c>
      <c r="D1076" s="81">
        <f t="shared" si="32"/>
        <v>2.1952713463186946E-3</v>
      </c>
      <c r="E1076" s="40">
        <v>44967</v>
      </c>
      <c r="F1076" s="24">
        <v>32.580002</v>
      </c>
      <c r="G1076" s="81">
        <f t="shared" si="33"/>
        <v>4.3157522908678914E-3</v>
      </c>
      <c r="L1076" s="40">
        <v>44967</v>
      </c>
      <c r="M1076" s="43">
        <v>2.1952999999999999E-3</v>
      </c>
      <c r="N1076" s="1">
        <v>4.3157522908678914E-3</v>
      </c>
    </row>
    <row r="1077" spans="2:14">
      <c r="B1077" s="40">
        <v>44970</v>
      </c>
      <c r="C1077" s="47">
        <v>4137.29</v>
      </c>
      <c r="D1077" s="81">
        <f t="shared" si="32"/>
        <v>1.1448590134117032E-2</v>
      </c>
      <c r="E1077" s="40">
        <v>44970</v>
      </c>
      <c r="F1077" s="24">
        <v>32.950001</v>
      </c>
      <c r="G1077" s="81">
        <f t="shared" si="33"/>
        <v>1.1356629137100782E-2</v>
      </c>
      <c r="L1077" s="40">
        <v>44970</v>
      </c>
      <c r="M1077" s="43">
        <v>1.14486E-2</v>
      </c>
      <c r="N1077" s="1">
        <v>1.1356629137100782E-2</v>
      </c>
    </row>
    <row r="1078" spans="2:14">
      <c r="B1078" s="40">
        <v>44971</v>
      </c>
      <c r="C1078" s="47">
        <v>4136.13</v>
      </c>
      <c r="D1078" s="81">
        <f t="shared" si="32"/>
        <v>-2.8037676836767389E-4</v>
      </c>
      <c r="E1078" s="40">
        <v>44971</v>
      </c>
      <c r="F1078" s="24">
        <v>32.159999999999997</v>
      </c>
      <c r="G1078" s="81">
        <f t="shared" si="33"/>
        <v>-2.3975750410447749E-2</v>
      </c>
      <c r="L1078" s="40">
        <v>44971</v>
      </c>
      <c r="M1078" s="43">
        <v>-2.8039999999999999E-4</v>
      </c>
      <c r="N1078" s="1">
        <v>-2.3975750410447749E-2</v>
      </c>
    </row>
    <row r="1079" spans="2:14">
      <c r="B1079" s="40">
        <v>44972</v>
      </c>
      <c r="C1079" s="47">
        <v>4147.6000000000004</v>
      </c>
      <c r="D1079" s="81">
        <f t="shared" si="32"/>
        <v>2.7731236687436045E-3</v>
      </c>
      <c r="E1079" s="40">
        <v>44972</v>
      </c>
      <c r="F1079" s="24">
        <v>32.700001</v>
      </c>
      <c r="G1079" s="81">
        <f t="shared" si="33"/>
        <v>1.6791075870646877E-2</v>
      </c>
      <c r="L1079" s="40">
        <v>44972</v>
      </c>
      <c r="M1079" s="43">
        <v>2.7731000000000001E-3</v>
      </c>
      <c r="N1079" s="1">
        <v>1.6791075870646877E-2</v>
      </c>
    </row>
    <row r="1080" spans="2:14">
      <c r="B1080" s="40">
        <v>44973</v>
      </c>
      <c r="C1080" s="47">
        <v>4090.41</v>
      </c>
      <c r="D1080" s="81">
        <f t="shared" si="32"/>
        <v>-1.378869707782826E-2</v>
      </c>
      <c r="E1080" s="40">
        <v>44973</v>
      </c>
      <c r="F1080" s="24">
        <v>32.889999000000003</v>
      </c>
      <c r="G1080" s="81">
        <f t="shared" si="33"/>
        <v>5.810336213751377E-3</v>
      </c>
      <c r="L1080" s="40">
        <v>44973</v>
      </c>
      <c r="M1080" s="43">
        <v>-1.3788699999999999E-2</v>
      </c>
      <c r="N1080" s="1">
        <v>5.810336213751377E-3</v>
      </c>
    </row>
    <row r="1081" spans="2:14">
      <c r="B1081" s="40">
        <v>44974</v>
      </c>
      <c r="C1081" s="47">
        <v>4079.09</v>
      </c>
      <c r="D1081" s="81">
        <f t="shared" si="32"/>
        <v>-2.7674487398573477E-3</v>
      </c>
      <c r="E1081" s="40">
        <v>44974</v>
      </c>
      <c r="F1081" s="24">
        <v>33.040000999999997</v>
      </c>
      <c r="G1081" s="81">
        <f t="shared" si="33"/>
        <v>4.5607176819917328E-3</v>
      </c>
      <c r="L1081" s="40">
        <v>44974</v>
      </c>
      <c r="M1081" s="43">
        <v>-2.7674000000000002E-3</v>
      </c>
      <c r="N1081" s="1">
        <v>4.5607176819917328E-3</v>
      </c>
    </row>
    <row r="1082" spans="2:14">
      <c r="B1082" s="40">
        <v>44978</v>
      </c>
      <c r="C1082" s="47">
        <v>3997.34</v>
      </c>
      <c r="D1082" s="81">
        <f t="shared" si="32"/>
        <v>-2.0041234687148357E-2</v>
      </c>
      <c r="E1082" s="40">
        <v>44978</v>
      </c>
      <c r="F1082" s="24">
        <v>31.65</v>
      </c>
      <c r="G1082" s="81">
        <f t="shared" si="33"/>
        <v>-4.207024691070671E-2</v>
      </c>
      <c r="L1082" s="40">
        <v>44978</v>
      </c>
      <c r="M1082" s="43">
        <v>-2.0041199999999999E-2</v>
      </c>
      <c r="N1082" s="1">
        <v>-4.207024691070671E-2</v>
      </c>
    </row>
    <row r="1083" spans="2:14">
      <c r="B1083" s="40">
        <v>44979</v>
      </c>
      <c r="C1083" s="47">
        <v>3991.05</v>
      </c>
      <c r="D1083" s="81">
        <f t="shared" si="32"/>
        <v>-1.5735464083616035E-3</v>
      </c>
      <c r="E1083" s="40">
        <v>44979</v>
      </c>
      <c r="F1083" s="24">
        <v>31.92</v>
      </c>
      <c r="G1083" s="81">
        <f t="shared" si="33"/>
        <v>8.5308056872039906E-3</v>
      </c>
      <c r="L1083" s="40">
        <v>44979</v>
      </c>
      <c r="M1083" s="43">
        <v>-1.5735E-3</v>
      </c>
      <c r="N1083" s="1">
        <v>8.5308056872039906E-3</v>
      </c>
    </row>
    <row r="1084" spans="2:14">
      <c r="B1084" s="40">
        <v>44980</v>
      </c>
      <c r="C1084" s="47">
        <v>4012.32</v>
      </c>
      <c r="D1084" s="81">
        <f t="shared" si="32"/>
        <v>5.3294245875146196E-3</v>
      </c>
      <c r="E1084" s="40">
        <v>44980</v>
      </c>
      <c r="F1084" s="24">
        <v>31.370000999999998</v>
      </c>
      <c r="G1084" s="81">
        <f t="shared" si="33"/>
        <v>-1.7230545112782103E-2</v>
      </c>
      <c r="L1084" s="40">
        <v>44980</v>
      </c>
      <c r="M1084" s="43">
        <v>5.3293999999999998E-3</v>
      </c>
      <c r="N1084" s="1">
        <v>-1.7230545112782103E-2</v>
      </c>
    </row>
    <row r="1085" spans="2:14">
      <c r="B1085" s="40">
        <v>44981</v>
      </c>
      <c r="C1085" s="47">
        <v>3970.04</v>
      </c>
      <c r="D1085" s="81">
        <f t="shared" si="32"/>
        <v>-1.0537544363360851E-2</v>
      </c>
      <c r="E1085" s="40">
        <v>44981</v>
      </c>
      <c r="F1085" s="24">
        <v>30.620000999999998</v>
      </c>
      <c r="G1085" s="81">
        <f t="shared" si="33"/>
        <v>-2.3908191778508447E-2</v>
      </c>
      <c r="L1085" s="40">
        <v>44981</v>
      </c>
      <c r="M1085" s="43">
        <v>-1.05375E-2</v>
      </c>
      <c r="N1085" s="1">
        <v>-2.3908191778508447E-2</v>
      </c>
    </row>
    <row r="1086" spans="2:14">
      <c r="B1086" s="40">
        <v>44984</v>
      </c>
      <c r="C1086" s="47">
        <v>3982.24</v>
      </c>
      <c r="D1086" s="81">
        <f t="shared" si="32"/>
        <v>3.0730168965551474E-3</v>
      </c>
      <c r="E1086" s="40">
        <v>44984</v>
      </c>
      <c r="F1086" s="24">
        <v>30.93</v>
      </c>
      <c r="G1086" s="81">
        <f t="shared" si="33"/>
        <v>1.0124068905157824E-2</v>
      </c>
      <c r="L1086" s="40">
        <v>44984</v>
      </c>
      <c r="M1086" s="43">
        <v>3.0730000000000002E-3</v>
      </c>
      <c r="N1086" s="1">
        <v>1.0124068905157824E-2</v>
      </c>
    </row>
    <row r="1087" spans="2:14">
      <c r="B1087" s="40">
        <v>44985</v>
      </c>
      <c r="C1087" s="47">
        <v>3970.15</v>
      </c>
      <c r="D1087" s="81">
        <f t="shared" si="32"/>
        <v>-3.0359797500902896E-3</v>
      </c>
      <c r="E1087" s="40">
        <v>44985</v>
      </c>
      <c r="F1087" s="24">
        <v>30.290001</v>
      </c>
      <c r="G1087" s="81">
        <f t="shared" si="33"/>
        <v>-2.0691852570320024E-2</v>
      </c>
      <c r="L1087" s="40">
        <v>44985</v>
      </c>
      <c r="M1087" s="43">
        <v>-3.0360000000000001E-3</v>
      </c>
      <c r="N1087" s="1">
        <v>-2.0691852570320024E-2</v>
      </c>
    </row>
    <row r="1088" spans="2:14">
      <c r="B1088" s="40">
        <v>44986</v>
      </c>
      <c r="C1088" s="47">
        <v>3951.39</v>
      </c>
      <c r="D1088" s="81">
        <f t="shared" si="32"/>
        <v>-4.7252622696876134E-3</v>
      </c>
      <c r="E1088" s="40">
        <v>44986</v>
      </c>
      <c r="F1088" s="24">
        <v>30.799999</v>
      </c>
      <c r="G1088" s="81">
        <f t="shared" si="33"/>
        <v>1.6837173428947638E-2</v>
      </c>
      <c r="L1088" s="40">
        <v>44986</v>
      </c>
      <c r="M1088" s="43">
        <v>-4.7253E-3</v>
      </c>
      <c r="N1088" s="1">
        <v>1.6837173428947638E-2</v>
      </c>
    </row>
    <row r="1089" spans="2:14">
      <c r="B1089" s="40">
        <v>44987</v>
      </c>
      <c r="C1089" s="47">
        <v>3981.35</v>
      </c>
      <c r="D1089" s="81">
        <f t="shared" si="32"/>
        <v>7.5821419804169565E-3</v>
      </c>
      <c r="E1089" s="40">
        <v>44987</v>
      </c>
      <c r="F1089" s="24">
        <v>34.799999</v>
      </c>
      <c r="G1089" s="81">
        <f t="shared" si="33"/>
        <v>0.12987013408669257</v>
      </c>
      <c r="L1089" s="40">
        <v>44987</v>
      </c>
      <c r="M1089" s="43">
        <v>7.5820999999999996E-3</v>
      </c>
      <c r="N1089" s="1">
        <v>0.12987013408669257</v>
      </c>
    </row>
    <row r="1090" spans="2:14">
      <c r="B1090" s="40">
        <v>44988</v>
      </c>
      <c r="C1090" s="47">
        <v>4045.64</v>
      </c>
      <c r="D1090" s="81">
        <f t="shared" si="32"/>
        <v>1.61477890665227E-2</v>
      </c>
      <c r="E1090" s="40">
        <v>44988</v>
      </c>
      <c r="F1090" s="24">
        <v>34.099997999999999</v>
      </c>
      <c r="G1090" s="81">
        <f t="shared" si="33"/>
        <v>-2.011497184238431E-2</v>
      </c>
      <c r="L1090" s="40">
        <v>44988</v>
      </c>
      <c r="M1090" s="43">
        <v>1.61478E-2</v>
      </c>
      <c r="N1090" s="1">
        <v>-2.011497184238431E-2</v>
      </c>
    </row>
    <row r="1091" spans="2:14">
      <c r="B1091" s="40">
        <v>44991</v>
      </c>
      <c r="C1091" s="47">
        <v>4048.42</v>
      </c>
      <c r="D1091" s="81">
        <f t="shared" si="32"/>
        <v>6.8715950999109765E-4</v>
      </c>
      <c r="E1091" s="40">
        <v>44991</v>
      </c>
      <c r="F1091" s="24">
        <v>33.240001999999997</v>
      </c>
      <c r="G1091" s="81">
        <f t="shared" si="33"/>
        <v>-2.521982552608959E-2</v>
      </c>
      <c r="L1091" s="40">
        <v>44991</v>
      </c>
      <c r="M1091" s="43">
        <v>6.8720000000000001E-4</v>
      </c>
      <c r="N1091" s="1">
        <v>-2.521982552608959E-2</v>
      </c>
    </row>
    <row r="1092" spans="2:14">
      <c r="B1092" s="40">
        <v>44992</v>
      </c>
      <c r="C1092" s="47">
        <v>3986.37</v>
      </c>
      <c r="D1092" s="81">
        <f t="shared" si="32"/>
        <v>-1.5326967063694075E-2</v>
      </c>
      <c r="E1092" s="40">
        <v>44992</v>
      </c>
      <c r="F1092" s="24">
        <v>33.139999000000003</v>
      </c>
      <c r="G1092" s="81">
        <f t="shared" si="33"/>
        <v>-3.0085136577306937E-3</v>
      </c>
      <c r="L1092" s="40">
        <v>44992</v>
      </c>
      <c r="M1092" s="43">
        <v>-1.5327E-2</v>
      </c>
      <c r="N1092" s="1">
        <v>-3.0085136577306937E-3</v>
      </c>
    </row>
    <row r="1093" spans="2:14">
      <c r="B1093" s="40">
        <v>44993</v>
      </c>
      <c r="C1093" s="47">
        <v>3992.01</v>
      </c>
      <c r="D1093" s="81">
        <f t="shared" si="32"/>
        <v>1.4148210025664021E-3</v>
      </c>
      <c r="E1093" s="40">
        <v>44993</v>
      </c>
      <c r="F1093" s="24">
        <v>33.080002</v>
      </c>
      <c r="G1093" s="81">
        <f t="shared" si="33"/>
        <v>-1.8104104348344308E-3</v>
      </c>
      <c r="L1093" s="40">
        <v>44993</v>
      </c>
      <c r="M1093" s="43">
        <v>1.4147999999999999E-3</v>
      </c>
      <c r="N1093" s="1">
        <v>-1.8104104348344308E-3</v>
      </c>
    </row>
    <row r="1094" spans="2:14">
      <c r="B1094" s="40">
        <v>44994</v>
      </c>
      <c r="C1094" s="47">
        <v>3918.32</v>
      </c>
      <c r="D1094" s="81">
        <f t="shared" ref="D1094:D1157" si="34">C1094/C1093-1</f>
        <v>-1.8459372596762003E-2</v>
      </c>
      <c r="E1094" s="40">
        <v>44994</v>
      </c>
      <c r="F1094" s="24">
        <v>33.520000000000003</v>
      </c>
      <c r="G1094" s="81">
        <f t="shared" ref="G1094:G1157" si="35">F1094/F1093-1</f>
        <v>1.3301027007193156E-2</v>
      </c>
      <c r="L1094" s="40">
        <v>44994</v>
      </c>
      <c r="M1094" s="43">
        <v>-1.8459400000000001E-2</v>
      </c>
      <c r="N1094" s="1">
        <v>1.3301027007193156E-2</v>
      </c>
    </row>
    <row r="1095" spans="2:14">
      <c r="B1095" s="40">
        <v>44995</v>
      </c>
      <c r="C1095" s="47">
        <v>3861.59</v>
      </c>
      <c r="D1095" s="81">
        <f t="shared" si="34"/>
        <v>-1.4478143694236278E-2</v>
      </c>
      <c r="E1095" s="40">
        <v>44995</v>
      </c>
      <c r="F1095" s="24">
        <v>33.029998999999997</v>
      </c>
      <c r="G1095" s="81">
        <f t="shared" si="35"/>
        <v>-1.4618168257756747E-2</v>
      </c>
      <c r="L1095" s="40">
        <v>44995</v>
      </c>
      <c r="M1095" s="43">
        <v>-1.4478100000000001E-2</v>
      </c>
      <c r="N1095" s="1">
        <v>-1.4618168257756747E-2</v>
      </c>
    </row>
    <row r="1096" spans="2:14">
      <c r="B1096" s="40">
        <v>44998</v>
      </c>
      <c r="C1096" s="47">
        <v>3855.76</v>
      </c>
      <c r="D1096" s="81">
        <f t="shared" si="34"/>
        <v>-1.5097408062482165E-3</v>
      </c>
      <c r="E1096" s="40">
        <v>44998</v>
      </c>
      <c r="F1096" s="24">
        <v>32.790000999999997</v>
      </c>
      <c r="G1096" s="81">
        <f t="shared" si="35"/>
        <v>-7.2660613765080928E-3</v>
      </c>
      <c r="L1096" s="40">
        <v>44998</v>
      </c>
      <c r="M1096" s="43">
        <v>-1.5097000000000001E-3</v>
      </c>
      <c r="N1096" s="1">
        <v>-7.2660613765080928E-3</v>
      </c>
    </row>
    <row r="1097" spans="2:14">
      <c r="B1097" s="40">
        <v>44999</v>
      </c>
      <c r="C1097" s="47">
        <v>3919.29</v>
      </c>
      <c r="D1097" s="81">
        <f t="shared" si="34"/>
        <v>1.6476647924144494E-2</v>
      </c>
      <c r="E1097" s="40">
        <v>44999</v>
      </c>
      <c r="F1097" s="24">
        <v>32.950001</v>
      </c>
      <c r="G1097" s="81">
        <f t="shared" si="35"/>
        <v>4.8795362952263055E-3</v>
      </c>
      <c r="L1097" s="40">
        <v>44999</v>
      </c>
      <c r="M1097" s="43">
        <v>1.6476600000000001E-2</v>
      </c>
      <c r="N1097" s="1">
        <v>4.8795362952263055E-3</v>
      </c>
    </row>
    <row r="1098" spans="2:14">
      <c r="B1098" s="40">
        <v>45000</v>
      </c>
      <c r="C1098" s="47">
        <v>3891.93</v>
      </c>
      <c r="D1098" s="81">
        <f t="shared" si="34"/>
        <v>-6.9808562265104568E-3</v>
      </c>
      <c r="E1098" s="40">
        <v>45000</v>
      </c>
      <c r="F1098" s="24">
        <v>33.5</v>
      </c>
      <c r="G1098" s="81">
        <f t="shared" si="35"/>
        <v>1.6691926655783673E-2</v>
      </c>
      <c r="L1098" s="40">
        <v>45000</v>
      </c>
      <c r="M1098" s="43">
        <v>-6.9809E-3</v>
      </c>
      <c r="N1098" s="1">
        <v>1.6691926655783673E-2</v>
      </c>
    </row>
    <row r="1099" spans="2:14">
      <c r="B1099" s="40">
        <v>45001</v>
      </c>
      <c r="C1099" s="47">
        <v>3960.28</v>
      </c>
      <c r="D1099" s="81">
        <f t="shared" si="34"/>
        <v>1.7561980816715783E-2</v>
      </c>
      <c r="E1099" s="40">
        <v>45001</v>
      </c>
      <c r="F1099" s="24">
        <v>33.279998999999997</v>
      </c>
      <c r="G1099" s="81">
        <f t="shared" si="35"/>
        <v>-6.5671940298508424E-3</v>
      </c>
      <c r="L1099" s="40">
        <v>45001</v>
      </c>
      <c r="M1099" s="43">
        <v>1.7562000000000001E-2</v>
      </c>
      <c r="N1099" s="1">
        <v>-6.5671940298508424E-3</v>
      </c>
    </row>
    <row r="1100" spans="2:14">
      <c r="B1100" s="40">
        <v>45002</v>
      </c>
      <c r="C1100" s="47">
        <v>3916.64</v>
      </c>
      <c r="D1100" s="81">
        <f t="shared" si="34"/>
        <v>-1.101942286909019E-2</v>
      </c>
      <c r="E1100" s="40">
        <v>45002</v>
      </c>
      <c r="F1100" s="24">
        <v>32.310001</v>
      </c>
      <c r="G1100" s="81">
        <f t="shared" si="35"/>
        <v>-2.9146575395029184E-2</v>
      </c>
      <c r="L1100" s="40">
        <v>45002</v>
      </c>
      <c r="M1100" s="43">
        <v>-1.10194E-2</v>
      </c>
      <c r="N1100" s="1">
        <v>-2.9146575395029184E-2</v>
      </c>
    </row>
    <row r="1101" spans="2:14">
      <c r="B1101" s="40">
        <v>45005</v>
      </c>
      <c r="C1101" s="47">
        <v>3951.57</v>
      </c>
      <c r="D1101" s="81">
        <f t="shared" si="34"/>
        <v>8.9183585930798781E-3</v>
      </c>
      <c r="E1101" s="40">
        <v>45005</v>
      </c>
      <c r="F1101" s="24">
        <v>32.720001000000003</v>
      </c>
      <c r="G1101" s="81">
        <f t="shared" si="35"/>
        <v>1.2689569399889633E-2</v>
      </c>
      <c r="L1101" s="40">
        <v>45005</v>
      </c>
      <c r="M1101" s="43">
        <v>8.9183999999999999E-3</v>
      </c>
      <c r="N1101" s="1">
        <v>1.2689569399889633E-2</v>
      </c>
    </row>
    <row r="1102" spans="2:14">
      <c r="B1102" s="40">
        <v>45006</v>
      </c>
      <c r="C1102" s="47">
        <v>4002.87</v>
      </c>
      <c r="D1102" s="81">
        <f t="shared" si="34"/>
        <v>1.2982181765728518E-2</v>
      </c>
      <c r="E1102" s="40">
        <v>45006</v>
      </c>
      <c r="F1102" s="24">
        <v>33.270000000000003</v>
      </c>
      <c r="G1102" s="81">
        <f t="shared" si="35"/>
        <v>1.6809259877467619E-2</v>
      </c>
      <c r="L1102" s="40">
        <v>45006</v>
      </c>
      <c r="M1102" s="43">
        <v>1.2982199999999999E-2</v>
      </c>
      <c r="N1102" s="1">
        <v>1.6809259877467619E-2</v>
      </c>
    </row>
    <row r="1103" spans="2:14">
      <c r="B1103" s="40">
        <v>45007</v>
      </c>
      <c r="C1103" s="47">
        <v>3936.97</v>
      </c>
      <c r="D1103" s="81">
        <f t="shared" si="34"/>
        <v>-1.646318766285193E-2</v>
      </c>
      <c r="E1103" s="40">
        <v>45007</v>
      </c>
      <c r="F1103" s="24">
        <v>32.340000000000003</v>
      </c>
      <c r="G1103" s="81">
        <f t="shared" si="35"/>
        <v>-2.7953110910730383E-2</v>
      </c>
      <c r="L1103" s="40">
        <v>45007</v>
      </c>
      <c r="M1103" s="43">
        <v>-1.6463200000000001E-2</v>
      </c>
      <c r="N1103" s="1">
        <v>-2.7953110910730383E-2</v>
      </c>
    </row>
    <row r="1104" spans="2:14">
      <c r="B1104" s="40">
        <v>45008</v>
      </c>
      <c r="C1104" s="47">
        <v>3948.72</v>
      </c>
      <c r="D1104" s="81">
        <f t="shared" si="34"/>
        <v>2.9845287111662788E-3</v>
      </c>
      <c r="E1104" s="40">
        <v>45008</v>
      </c>
      <c r="F1104" s="24">
        <v>32.770000000000003</v>
      </c>
      <c r="G1104" s="81">
        <f t="shared" si="35"/>
        <v>1.3296227581941933E-2</v>
      </c>
      <c r="L1104" s="40">
        <v>45008</v>
      </c>
      <c r="M1104" s="43">
        <v>2.9845000000000002E-3</v>
      </c>
      <c r="N1104" s="1">
        <v>1.3296227581941933E-2</v>
      </c>
    </row>
    <row r="1105" spans="2:14">
      <c r="B1105" s="40">
        <v>45009</v>
      </c>
      <c r="C1105" s="47">
        <v>3970.99</v>
      </c>
      <c r="D1105" s="81">
        <f t="shared" si="34"/>
        <v>5.6398022650376856E-3</v>
      </c>
      <c r="E1105" s="40">
        <v>45009</v>
      </c>
      <c r="F1105" s="24">
        <v>33.279998999999997</v>
      </c>
      <c r="G1105" s="81">
        <f t="shared" si="35"/>
        <v>1.5562984436984895E-2</v>
      </c>
      <c r="L1105" s="40">
        <v>45009</v>
      </c>
      <c r="M1105" s="43">
        <v>5.6398000000000004E-3</v>
      </c>
      <c r="N1105" s="1">
        <v>1.5562984436984895E-2</v>
      </c>
    </row>
    <row r="1106" spans="2:14">
      <c r="B1106" s="40">
        <v>45012</v>
      </c>
      <c r="C1106" s="47">
        <v>3977.53</v>
      </c>
      <c r="D1106" s="81">
        <f t="shared" si="34"/>
        <v>1.6469444647304599E-3</v>
      </c>
      <c r="E1106" s="40">
        <v>45012</v>
      </c>
      <c r="F1106" s="24">
        <v>34.080002</v>
      </c>
      <c r="G1106" s="81">
        <f t="shared" si="35"/>
        <v>2.4038552405004632E-2</v>
      </c>
      <c r="L1106" s="40">
        <v>45012</v>
      </c>
      <c r="M1106" s="43">
        <v>1.6469E-3</v>
      </c>
      <c r="N1106" s="1">
        <v>2.4038552405004632E-2</v>
      </c>
    </row>
    <row r="1107" spans="2:14">
      <c r="B1107" s="40">
        <v>45013</v>
      </c>
      <c r="C1107" s="47">
        <v>3971.27</v>
      </c>
      <c r="D1107" s="81">
        <f t="shared" si="34"/>
        <v>-1.5738410521103363E-3</v>
      </c>
      <c r="E1107" s="40">
        <v>45013</v>
      </c>
      <c r="F1107" s="24">
        <v>34.290000999999997</v>
      </c>
      <c r="G1107" s="81">
        <f t="shared" si="35"/>
        <v>6.1619421266465579E-3</v>
      </c>
      <c r="L1107" s="40">
        <v>45013</v>
      </c>
      <c r="M1107" s="43">
        <v>-1.5738E-3</v>
      </c>
      <c r="N1107" s="1">
        <v>6.1619421266465579E-3</v>
      </c>
    </row>
    <row r="1108" spans="2:14">
      <c r="B1108" s="40">
        <v>45014</v>
      </c>
      <c r="C1108" s="47">
        <v>4027.81</v>
      </c>
      <c r="D1108" s="81">
        <f t="shared" si="34"/>
        <v>1.4237259113583312E-2</v>
      </c>
      <c r="E1108" s="40">
        <v>45014</v>
      </c>
      <c r="F1108" s="24">
        <v>34.040000999999997</v>
      </c>
      <c r="G1108" s="81">
        <f t="shared" si="35"/>
        <v>-7.2907551096309531E-3</v>
      </c>
      <c r="L1108" s="40">
        <v>45014</v>
      </c>
      <c r="M1108" s="43">
        <v>1.42373E-2</v>
      </c>
      <c r="N1108" s="1">
        <v>-7.2907551096309531E-3</v>
      </c>
    </row>
    <row r="1109" spans="2:14">
      <c r="B1109" s="40">
        <v>45015</v>
      </c>
      <c r="C1109" s="47">
        <v>4050.83</v>
      </c>
      <c r="D1109" s="81">
        <f t="shared" si="34"/>
        <v>5.7152646227105475E-3</v>
      </c>
      <c r="E1109" s="40">
        <v>45015</v>
      </c>
      <c r="F1109" s="24">
        <v>34.490001999999997</v>
      </c>
      <c r="G1109" s="81">
        <f t="shared" si="35"/>
        <v>1.321977046945455E-2</v>
      </c>
      <c r="L1109" s="40">
        <v>45015</v>
      </c>
      <c r="M1109" s="43">
        <v>5.7153000000000004E-3</v>
      </c>
      <c r="N1109" s="1">
        <v>1.321977046945455E-2</v>
      </c>
    </row>
    <row r="1110" spans="2:14">
      <c r="B1110" s="40">
        <v>45016</v>
      </c>
      <c r="C1110" s="47">
        <v>4109.3100000000004</v>
      </c>
      <c r="D1110" s="81">
        <f t="shared" si="34"/>
        <v>1.4436547571732294E-2</v>
      </c>
      <c r="E1110" s="40">
        <v>45016</v>
      </c>
      <c r="F1110" s="24">
        <v>35.029998999999997</v>
      </c>
      <c r="G1110" s="81">
        <f t="shared" si="35"/>
        <v>1.565662420083358E-2</v>
      </c>
      <c r="L1110" s="40">
        <v>45016</v>
      </c>
      <c r="M1110" s="43">
        <v>1.44365E-2</v>
      </c>
      <c r="N1110" s="1">
        <v>1.565662420083358E-2</v>
      </c>
    </row>
    <row r="1111" spans="2:14">
      <c r="B1111" s="40">
        <v>45019</v>
      </c>
      <c r="C1111" s="47">
        <v>4124.51</v>
      </c>
      <c r="D1111" s="81">
        <f t="shared" si="34"/>
        <v>3.6989178231867648E-3</v>
      </c>
      <c r="E1111" s="40">
        <v>45019</v>
      </c>
      <c r="F1111" s="24">
        <v>35.259998000000003</v>
      </c>
      <c r="G1111" s="81">
        <f t="shared" si="35"/>
        <v>6.5657723826941794E-3</v>
      </c>
      <c r="L1111" s="40">
        <v>45019</v>
      </c>
      <c r="M1111" s="43">
        <v>3.6989000000000002E-3</v>
      </c>
      <c r="N1111" s="1">
        <v>6.5657723826941794E-3</v>
      </c>
    </row>
    <row r="1112" spans="2:14">
      <c r="B1112" s="40">
        <v>45020</v>
      </c>
      <c r="C1112" s="47">
        <v>4100.6000000000004</v>
      </c>
      <c r="D1112" s="81">
        <f t="shared" si="34"/>
        <v>-5.7970522559043225E-3</v>
      </c>
      <c r="E1112" s="40">
        <v>45020</v>
      </c>
      <c r="F1112" s="24">
        <v>34.900002000000001</v>
      </c>
      <c r="G1112" s="81">
        <f t="shared" si="35"/>
        <v>-1.0209756676673676E-2</v>
      </c>
      <c r="L1112" s="40">
        <v>45020</v>
      </c>
      <c r="M1112" s="43">
        <v>-5.7971000000000003E-3</v>
      </c>
      <c r="N1112" s="1">
        <v>-1.0209756676673676E-2</v>
      </c>
    </row>
    <row r="1113" spans="2:14">
      <c r="B1113" s="40">
        <v>45021</v>
      </c>
      <c r="C1113" s="47">
        <v>4090.38</v>
      </c>
      <c r="D1113" s="81">
        <f t="shared" si="34"/>
        <v>-2.4923181973370845E-3</v>
      </c>
      <c r="E1113" s="40">
        <v>45021</v>
      </c>
      <c r="F1113" s="24">
        <v>34.340000000000003</v>
      </c>
      <c r="G1113" s="81">
        <f t="shared" si="35"/>
        <v>-1.6045901659260564E-2</v>
      </c>
      <c r="L1113" s="40">
        <v>45021</v>
      </c>
      <c r="M1113" s="43">
        <v>-2.4922999999999998E-3</v>
      </c>
      <c r="N1113" s="1">
        <v>-1.6045901659260564E-2</v>
      </c>
    </row>
    <row r="1114" spans="2:14">
      <c r="B1114" s="40">
        <v>45022</v>
      </c>
      <c r="C1114" s="47">
        <v>4105.0200000000004</v>
      </c>
      <c r="D1114" s="81">
        <f t="shared" si="34"/>
        <v>3.5791295674241219E-3</v>
      </c>
      <c r="E1114" s="40">
        <v>45022</v>
      </c>
      <c r="F1114" s="24">
        <v>34.639999000000003</v>
      </c>
      <c r="G1114" s="81">
        <f t="shared" si="35"/>
        <v>8.736138613861355E-3</v>
      </c>
      <c r="L1114" s="40">
        <v>45022</v>
      </c>
      <c r="M1114" s="43">
        <v>3.5791E-3</v>
      </c>
      <c r="N1114" s="1">
        <v>8.736138613861355E-3</v>
      </c>
    </row>
    <row r="1115" spans="2:14">
      <c r="B1115" s="40">
        <v>45026</v>
      </c>
      <c r="C1115" s="47">
        <v>4109.1099999999997</v>
      </c>
      <c r="D1115" s="81">
        <f t="shared" si="34"/>
        <v>9.9634106532953126E-4</v>
      </c>
      <c r="E1115" s="40">
        <v>45026</v>
      </c>
      <c r="F1115" s="24">
        <v>34.450001</v>
      </c>
      <c r="G1115" s="81">
        <f t="shared" si="35"/>
        <v>-5.4849308742763725E-3</v>
      </c>
      <c r="L1115" s="40">
        <v>45026</v>
      </c>
      <c r="M1115" s="43">
        <v>9.9630000000000009E-4</v>
      </c>
      <c r="N1115" s="1">
        <v>-5.4849308742763725E-3</v>
      </c>
    </row>
    <row r="1116" spans="2:14">
      <c r="B1116" s="40">
        <v>45027</v>
      </c>
      <c r="C1116" s="47">
        <v>4108.9399999999996</v>
      </c>
      <c r="D1116" s="81">
        <f t="shared" si="34"/>
        <v>-4.1371489203245737E-5</v>
      </c>
      <c r="E1116" s="40">
        <v>45027</v>
      </c>
      <c r="F1116" s="24">
        <v>34.439999</v>
      </c>
      <c r="G1116" s="81">
        <f t="shared" si="35"/>
        <v>-2.9033380869858405E-4</v>
      </c>
      <c r="L1116" s="40">
        <v>45027</v>
      </c>
      <c r="M1116" s="43">
        <v>-4.1369999999999999E-5</v>
      </c>
      <c r="N1116" s="1">
        <v>-2.9033380869858405E-4</v>
      </c>
    </row>
    <row r="1117" spans="2:14">
      <c r="B1117" s="40">
        <v>45028</v>
      </c>
      <c r="C1117" s="47">
        <v>4091.95</v>
      </c>
      <c r="D1117" s="81">
        <f t="shared" si="34"/>
        <v>-4.1348863697205918E-3</v>
      </c>
      <c r="E1117" s="40">
        <v>45028</v>
      </c>
      <c r="F1117" s="24">
        <v>34.400002000000001</v>
      </c>
      <c r="G1117" s="81">
        <f t="shared" si="35"/>
        <v>-1.1613531115375331E-3</v>
      </c>
      <c r="L1117" s="40">
        <v>45028</v>
      </c>
      <c r="M1117" s="43">
        <v>-4.1349000000000004E-3</v>
      </c>
      <c r="N1117" s="1">
        <v>-1.1613531115375331E-3</v>
      </c>
    </row>
    <row r="1118" spans="2:14">
      <c r="B1118" s="40">
        <v>45029</v>
      </c>
      <c r="C1118" s="47">
        <v>4146.22</v>
      </c>
      <c r="D1118" s="81">
        <f t="shared" si="34"/>
        <v>1.3262625398648753E-2</v>
      </c>
      <c r="E1118" s="40">
        <v>45029</v>
      </c>
      <c r="F1118" s="24">
        <v>34.18</v>
      </c>
      <c r="G1118" s="81">
        <f t="shared" si="35"/>
        <v>-6.395406604918219E-3</v>
      </c>
      <c r="L1118" s="40">
        <v>45029</v>
      </c>
      <c r="M1118" s="43">
        <v>1.3262599999999999E-2</v>
      </c>
      <c r="N1118" s="1">
        <v>-6.395406604918219E-3</v>
      </c>
    </row>
    <row r="1119" spans="2:14">
      <c r="B1119" s="40">
        <v>45030</v>
      </c>
      <c r="C1119" s="47">
        <v>4137.6400000000003</v>
      </c>
      <c r="D1119" s="81">
        <f t="shared" si="34"/>
        <v>-2.0693547375681964E-3</v>
      </c>
      <c r="E1119" s="40">
        <v>45030</v>
      </c>
      <c r="F1119" s="24">
        <v>33.130001</v>
      </c>
      <c r="G1119" s="81">
        <f t="shared" si="35"/>
        <v>-3.0719689877121148E-2</v>
      </c>
      <c r="L1119" s="40">
        <v>45030</v>
      </c>
      <c r="M1119" s="43">
        <v>-2.0693999999999999E-3</v>
      </c>
      <c r="N1119" s="1">
        <v>-3.0719689877121148E-2</v>
      </c>
    </row>
    <row r="1120" spans="2:14">
      <c r="B1120" s="40">
        <v>45033</v>
      </c>
      <c r="C1120" s="47">
        <v>4151.32</v>
      </c>
      <c r="D1120" s="81">
        <f t="shared" si="34"/>
        <v>3.3062325383550473E-3</v>
      </c>
      <c r="E1120" s="40">
        <v>45033</v>
      </c>
      <c r="F1120" s="24">
        <v>33.770000000000003</v>
      </c>
      <c r="G1120" s="81">
        <f t="shared" si="35"/>
        <v>1.9317808049568175E-2</v>
      </c>
      <c r="L1120" s="40">
        <v>45033</v>
      </c>
      <c r="M1120" s="43">
        <v>3.3062E-3</v>
      </c>
      <c r="N1120" s="1">
        <v>1.9317808049568175E-2</v>
      </c>
    </row>
    <row r="1121" spans="2:14">
      <c r="B1121" s="40">
        <v>45034</v>
      </c>
      <c r="C1121" s="47">
        <v>4154.87</v>
      </c>
      <c r="D1121" s="81">
        <f t="shared" si="34"/>
        <v>8.5514968732836039E-4</v>
      </c>
      <c r="E1121" s="40">
        <v>45034</v>
      </c>
      <c r="F1121" s="24">
        <v>33.43</v>
      </c>
      <c r="G1121" s="81">
        <f t="shared" si="35"/>
        <v>-1.006810778797762E-2</v>
      </c>
      <c r="L1121" s="40">
        <v>45034</v>
      </c>
      <c r="M1121" s="43">
        <v>8.5510000000000002E-4</v>
      </c>
      <c r="N1121" s="1">
        <v>-1.006810778797762E-2</v>
      </c>
    </row>
    <row r="1122" spans="2:14">
      <c r="B1122" s="40">
        <v>45035</v>
      </c>
      <c r="C1122" s="47">
        <v>4154.5200000000004</v>
      </c>
      <c r="D1122" s="81">
        <f t="shared" si="34"/>
        <v>-8.4238496029787058E-5</v>
      </c>
      <c r="E1122" s="40">
        <v>45035</v>
      </c>
      <c r="F1122" s="24">
        <v>33.200001</v>
      </c>
      <c r="G1122" s="81">
        <f t="shared" si="35"/>
        <v>-6.8800179479509005E-3</v>
      </c>
      <c r="L1122" s="40">
        <v>45035</v>
      </c>
      <c r="M1122" s="43">
        <v>-8.4240000000000007E-5</v>
      </c>
      <c r="N1122" s="1">
        <v>-6.8800179479509005E-3</v>
      </c>
    </row>
    <row r="1123" spans="2:14">
      <c r="B1123" s="40">
        <v>45036</v>
      </c>
      <c r="C1123" s="47">
        <v>4129.79</v>
      </c>
      <c r="D1123" s="81">
        <f t="shared" si="34"/>
        <v>-5.952552882162232E-3</v>
      </c>
      <c r="E1123" s="40">
        <v>45036</v>
      </c>
      <c r="F1123" s="24">
        <v>32.709999000000003</v>
      </c>
      <c r="G1123" s="81">
        <f t="shared" si="35"/>
        <v>-1.4759095940991007E-2</v>
      </c>
      <c r="L1123" s="40">
        <v>45036</v>
      </c>
      <c r="M1123" s="43">
        <v>-5.9525999999999997E-3</v>
      </c>
      <c r="N1123" s="1">
        <v>-1.4759095940991007E-2</v>
      </c>
    </row>
    <row r="1124" spans="2:14">
      <c r="B1124" s="40">
        <v>45037</v>
      </c>
      <c r="C1124" s="47">
        <v>4133.5200000000004</v>
      </c>
      <c r="D1124" s="81">
        <f t="shared" si="34"/>
        <v>9.0319362485757893E-4</v>
      </c>
      <c r="E1124" s="40">
        <v>45037</v>
      </c>
      <c r="F1124" s="24">
        <v>33.110000999999997</v>
      </c>
      <c r="G1124" s="81">
        <f t="shared" si="35"/>
        <v>1.2228737763030573E-2</v>
      </c>
      <c r="L1124" s="40">
        <v>45037</v>
      </c>
      <c r="M1124" s="43">
        <v>9.0320000000000005E-4</v>
      </c>
      <c r="N1124" s="1">
        <v>1.2228737763030573E-2</v>
      </c>
    </row>
    <row r="1125" spans="2:14">
      <c r="B1125" s="40">
        <v>45040</v>
      </c>
      <c r="C1125" s="47">
        <v>4137.04</v>
      </c>
      <c r="D1125" s="81">
        <f t="shared" si="34"/>
        <v>8.5157444502503843E-4</v>
      </c>
      <c r="E1125" s="40">
        <v>45040</v>
      </c>
      <c r="F1125" s="24">
        <v>34.150002000000001</v>
      </c>
      <c r="G1125" s="81">
        <f t="shared" si="35"/>
        <v>3.1410479268786595E-2</v>
      </c>
      <c r="L1125" s="40">
        <v>45040</v>
      </c>
      <c r="M1125" s="43">
        <v>8.5159999999999999E-4</v>
      </c>
      <c r="N1125" s="1">
        <v>3.1410479268786595E-2</v>
      </c>
    </row>
    <row r="1126" spans="2:14">
      <c r="B1126" s="40">
        <v>45041</v>
      </c>
      <c r="C1126" s="47">
        <v>4071.63</v>
      </c>
      <c r="D1126" s="81">
        <f t="shared" si="34"/>
        <v>-1.5810821263512076E-2</v>
      </c>
      <c r="E1126" s="40">
        <v>45041</v>
      </c>
      <c r="F1126" s="24">
        <v>33.450001</v>
      </c>
      <c r="G1126" s="81">
        <f t="shared" si="35"/>
        <v>-2.0497831888853235E-2</v>
      </c>
      <c r="L1126" s="40">
        <v>45041</v>
      </c>
      <c r="M1126" s="43">
        <v>-1.58108E-2</v>
      </c>
      <c r="N1126" s="1">
        <v>-2.0497831888853235E-2</v>
      </c>
    </row>
    <row r="1127" spans="2:14">
      <c r="B1127" s="40">
        <v>45042</v>
      </c>
      <c r="C1127" s="47">
        <v>4055.99</v>
      </c>
      <c r="D1127" s="81">
        <f t="shared" si="34"/>
        <v>-3.8412134697898281E-3</v>
      </c>
      <c r="E1127" s="40">
        <v>45042</v>
      </c>
      <c r="F1127" s="24">
        <v>34.090000000000003</v>
      </c>
      <c r="G1127" s="81">
        <f t="shared" si="35"/>
        <v>1.9133003912316759E-2</v>
      </c>
      <c r="L1127" s="40">
        <v>45042</v>
      </c>
      <c r="M1127" s="43">
        <v>-3.8411999999999999E-3</v>
      </c>
      <c r="N1127" s="1">
        <v>1.9133003912316759E-2</v>
      </c>
    </row>
    <row r="1128" spans="2:14">
      <c r="B1128" s="40">
        <v>45043</v>
      </c>
      <c r="C1128" s="47">
        <v>4135.3500000000004</v>
      </c>
      <c r="D1128" s="81">
        <f t="shared" si="34"/>
        <v>1.9566123190639217E-2</v>
      </c>
      <c r="E1128" s="40">
        <v>45043</v>
      </c>
      <c r="F1128" s="24">
        <v>34.950001</v>
      </c>
      <c r="G1128" s="81">
        <f t="shared" si="35"/>
        <v>2.5227368729832778E-2</v>
      </c>
      <c r="L1128" s="40">
        <v>45043</v>
      </c>
      <c r="M1128" s="43">
        <v>1.9566099999999999E-2</v>
      </c>
      <c r="N1128" s="1">
        <v>2.5227368729832778E-2</v>
      </c>
    </row>
    <row r="1129" spans="2:14">
      <c r="B1129" s="40">
        <v>45044</v>
      </c>
      <c r="C1129" s="47">
        <v>4169.4799999999996</v>
      </c>
      <c r="D1129" s="81">
        <f t="shared" si="34"/>
        <v>8.2532312863479174E-3</v>
      </c>
      <c r="E1129" s="40">
        <v>45044</v>
      </c>
      <c r="F1129" s="24">
        <v>34.659999999999997</v>
      </c>
      <c r="G1129" s="81">
        <f t="shared" si="35"/>
        <v>-8.2975963291104238E-3</v>
      </c>
      <c r="L1129" s="40">
        <v>45044</v>
      </c>
      <c r="M1129" s="43">
        <v>8.2532000000000005E-3</v>
      </c>
      <c r="N1129" s="1">
        <v>-8.2975963291104238E-3</v>
      </c>
    </row>
    <row r="1130" spans="2:14">
      <c r="B1130" s="40">
        <v>45047</v>
      </c>
      <c r="C1130" s="47">
        <v>4167.87</v>
      </c>
      <c r="D1130" s="81">
        <f t="shared" si="34"/>
        <v>-3.861392787588569E-4</v>
      </c>
      <c r="E1130" s="40">
        <v>45047</v>
      </c>
      <c r="F1130" s="24">
        <v>35.020000000000003</v>
      </c>
      <c r="G1130" s="81">
        <f t="shared" si="35"/>
        <v>1.038661281015596E-2</v>
      </c>
      <c r="L1130" s="40">
        <v>45047</v>
      </c>
      <c r="M1130" s="43">
        <v>-3.8610000000000001E-4</v>
      </c>
      <c r="N1130" s="1">
        <v>1.038661281015596E-2</v>
      </c>
    </row>
    <row r="1131" spans="2:14">
      <c r="B1131" s="40">
        <v>45048</v>
      </c>
      <c r="C1131" s="47">
        <v>4119.58</v>
      </c>
      <c r="D1131" s="81">
        <f t="shared" si="34"/>
        <v>-1.1586253889876552E-2</v>
      </c>
      <c r="E1131" s="40">
        <v>45048</v>
      </c>
      <c r="F1131" s="24">
        <v>37.860000999999997</v>
      </c>
      <c r="G1131" s="81">
        <f t="shared" si="35"/>
        <v>8.109654483152462E-2</v>
      </c>
      <c r="L1131" s="40">
        <v>45048</v>
      </c>
      <c r="M1131" s="43">
        <v>-1.1586300000000001E-2</v>
      </c>
      <c r="N1131" s="1">
        <v>8.109654483152462E-2</v>
      </c>
    </row>
    <row r="1132" spans="2:14">
      <c r="B1132" s="40">
        <v>45049</v>
      </c>
      <c r="C1132" s="47">
        <v>4090.75</v>
      </c>
      <c r="D1132" s="81">
        <f t="shared" si="34"/>
        <v>-6.9982862330625339E-3</v>
      </c>
      <c r="E1132" s="40">
        <v>45049</v>
      </c>
      <c r="F1132" s="24">
        <v>36.040000999999997</v>
      </c>
      <c r="G1132" s="81">
        <f t="shared" si="35"/>
        <v>-4.8071842364716288E-2</v>
      </c>
      <c r="L1132" s="40">
        <v>45049</v>
      </c>
      <c r="M1132" s="43">
        <v>-6.9982999999999998E-3</v>
      </c>
      <c r="N1132" s="1">
        <v>-4.8071842364716288E-2</v>
      </c>
    </row>
    <row r="1133" spans="2:14">
      <c r="B1133" s="40">
        <v>45050</v>
      </c>
      <c r="C1133" s="47">
        <v>4061.22</v>
      </c>
      <c r="D1133" s="81">
        <f t="shared" si="34"/>
        <v>-7.2187251726456569E-3</v>
      </c>
      <c r="E1133" s="40">
        <v>45050</v>
      </c>
      <c r="F1133" s="24">
        <v>36.32</v>
      </c>
      <c r="G1133" s="81">
        <f t="shared" si="35"/>
        <v>7.7691174314895584E-3</v>
      </c>
      <c r="L1133" s="40">
        <v>45050</v>
      </c>
      <c r="M1133" s="43">
        <v>-7.2186999999999998E-3</v>
      </c>
      <c r="N1133" s="1">
        <v>7.7691174314895584E-3</v>
      </c>
    </row>
    <row r="1134" spans="2:14">
      <c r="B1134" s="40">
        <v>45051</v>
      </c>
      <c r="C1134" s="47">
        <v>4136.25</v>
      </c>
      <c r="D1134" s="81">
        <f t="shared" si="34"/>
        <v>1.8474744042430657E-2</v>
      </c>
      <c r="E1134" s="40">
        <v>45051</v>
      </c>
      <c r="F1134" s="24">
        <v>36.419998</v>
      </c>
      <c r="G1134" s="81">
        <f t="shared" si="35"/>
        <v>2.7532488986783399E-3</v>
      </c>
      <c r="L1134" s="40">
        <v>45051</v>
      </c>
      <c r="M1134" s="43">
        <v>1.84747E-2</v>
      </c>
      <c r="N1134" s="1">
        <v>2.7532488986783399E-3</v>
      </c>
    </row>
    <row r="1135" spans="2:14">
      <c r="B1135" s="40">
        <v>45054</v>
      </c>
      <c r="C1135" s="47">
        <v>4138.12</v>
      </c>
      <c r="D1135" s="81">
        <f t="shared" si="34"/>
        <v>4.5210033242670811E-4</v>
      </c>
      <c r="E1135" s="40">
        <v>45054</v>
      </c>
      <c r="F1135" s="24">
        <v>35.880001</v>
      </c>
      <c r="G1135" s="81">
        <f t="shared" si="35"/>
        <v>-1.4826936563807624E-2</v>
      </c>
      <c r="L1135" s="40">
        <v>45054</v>
      </c>
      <c r="M1135" s="43">
        <v>4.5209999999999998E-4</v>
      </c>
      <c r="N1135" s="1">
        <v>-1.4826936563807624E-2</v>
      </c>
    </row>
    <row r="1136" spans="2:14">
      <c r="B1136" s="40">
        <v>45055</v>
      </c>
      <c r="C1136" s="47">
        <v>4119.17</v>
      </c>
      <c r="D1136" s="81">
        <f t="shared" si="34"/>
        <v>-4.5793742085777911E-3</v>
      </c>
      <c r="E1136" s="40">
        <v>45055</v>
      </c>
      <c r="F1136" s="24">
        <v>36.259998000000003</v>
      </c>
      <c r="G1136" s="81">
        <f t="shared" si="35"/>
        <v>1.0590774509733336E-2</v>
      </c>
      <c r="L1136" s="40">
        <v>45055</v>
      </c>
      <c r="M1136" s="43">
        <v>-4.5794E-3</v>
      </c>
      <c r="N1136" s="1">
        <v>1.0590774509733336E-2</v>
      </c>
    </row>
    <row r="1137" spans="2:14">
      <c r="B1137" s="40">
        <v>45056</v>
      </c>
      <c r="C1137" s="47">
        <v>4137.6400000000003</v>
      </c>
      <c r="D1137" s="81">
        <f t="shared" si="34"/>
        <v>4.4839130213125689E-3</v>
      </c>
      <c r="E1137" s="40">
        <v>45056</v>
      </c>
      <c r="F1137" s="24">
        <v>36.529998999999997</v>
      </c>
      <c r="G1137" s="81">
        <f t="shared" si="35"/>
        <v>7.4462497212490764E-3</v>
      </c>
      <c r="L1137" s="40">
        <v>45056</v>
      </c>
      <c r="M1137" s="43">
        <v>4.4838999999999999E-3</v>
      </c>
      <c r="N1137" s="1">
        <v>7.4462497212490764E-3</v>
      </c>
    </row>
    <row r="1138" spans="2:14">
      <c r="B1138" s="40">
        <v>45057</v>
      </c>
      <c r="C1138" s="47">
        <v>4130.62</v>
      </c>
      <c r="D1138" s="81">
        <f t="shared" si="34"/>
        <v>-1.6966193288928677E-3</v>
      </c>
      <c r="E1138" s="40">
        <v>45057</v>
      </c>
      <c r="F1138" s="24">
        <v>36.759998000000003</v>
      </c>
      <c r="G1138" s="81">
        <f t="shared" si="35"/>
        <v>6.2961677058903653E-3</v>
      </c>
      <c r="L1138" s="40">
        <v>45057</v>
      </c>
      <c r="M1138" s="43">
        <v>-1.6965999999999999E-3</v>
      </c>
      <c r="N1138" s="1">
        <v>6.2961677058903653E-3</v>
      </c>
    </row>
    <row r="1139" spans="2:14">
      <c r="B1139" s="40">
        <v>45058</v>
      </c>
      <c r="C1139" s="47">
        <v>4124.08</v>
      </c>
      <c r="D1139" s="81">
        <f t="shared" si="34"/>
        <v>-1.5832974226629437E-3</v>
      </c>
      <c r="E1139" s="40">
        <v>45058</v>
      </c>
      <c r="F1139" s="24">
        <v>37.349997999999999</v>
      </c>
      <c r="G1139" s="81">
        <f t="shared" si="35"/>
        <v>1.6050055280198761E-2</v>
      </c>
      <c r="L1139" s="40">
        <v>45058</v>
      </c>
      <c r="M1139" s="43">
        <v>-1.5832999999999999E-3</v>
      </c>
      <c r="N1139" s="1">
        <v>1.6050055280198761E-2</v>
      </c>
    </row>
    <row r="1140" spans="2:14">
      <c r="B1140" s="40">
        <v>45061</v>
      </c>
      <c r="C1140" s="47">
        <v>4136.28</v>
      </c>
      <c r="D1140" s="81">
        <f t="shared" si="34"/>
        <v>2.958235533743192E-3</v>
      </c>
      <c r="E1140" s="40">
        <v>45061</v>
      </c>
      <c r="F1140" s="24">
        <v>36.279998999999997</v>
      </c>
      <c r="G1140" s="81">
        <f t="shared" si="35"/>
        <v>-2.8647899793729614E-2</v>
      </c>
      <c r="L1140" s="40">
        <v>45061</v>
      </c>
      <c r="M1140" s="43">
        <v>2.9581999999999998E-3</v>
      </c>
      <c r="N1140" s="1">
        <v>-2.8647899793729614E-2</v>
      </c>
    </row>
    <row r="1141" spans="2:14">
      <c r="B1141" s="40">
        <v>45062</v>
      </c>
      <c r="C1141" s="47">
        <v>4109.8999999999996</v>
      </c>
      <c r="D1141" s="81">
        <f t="shared" si="34"/>
        <v>-6.3777113735047353E-3</v>
      </c>
      <c r="E1141" s="40">
        <v>45062</v>
      </c>
      <c r="F1141" s="24">
        <v>36.259998000000003</v>
      </c>
      <c r="G1141" s="81">
        <f t="shared" si="35"/>
        <v>-5.5129549479848716E-4</v>
      </c>
      <c r="L1141" s="40">
        <v>45062</v>
      </c>
      <c r="M1141" s="43">
        <v>-6.3777E-3</v>
      </c>
      <c r="N1141" s="1">
        <v>-5.5129549479848716E-4</v>
      </c>
    </row>
    <row r="1142" spans="2:14">
      <c r="B1142" s="40">
        <v>45063</v>
      </c>
      <c r="C1142" s="47">
        <v>4158.7700000000004</v>
      </c>
      <c r="D1142" s="81">
        <f t="shared" si="34"/>
        <v>1.1890800262780221E-2</v>
      </c>
      <c r="E1142" s="40">
        <v>45063</v>
      </c>
      <c r="F1142" s="24">
        <v>36.209999000000003</v>
      </c>
      <c r="G1142" s="81">
        <f t="shared" si="35"/>
        <v>-1.3789024478159106E-3</v>
      </c>
      <c r="L1142" s="40">
        <v>45063</v>
      </c>
      <c r="M1142" s="43">
        <v>1.18908E-2</v>
      </c>
      <c r="N1142" s="1">
        <v>-1.3789024478159106E-3</v>
      </c>
    </row>
    <row r="1143" spans="2:14">
      <c r="B1143" s="40">
        <v>45064</v>
      </c>
      <c r="C1143" s="47">
        <v>4198.05</v>
      </c>
      <c r="D1143" s="81">
        <f t="shared" si="34"/>
        <v>9.4451003541911049E-3</v>
      </c>
      <c r="E1143" s="40">
        <v>45064</v>
      </c>
      <c r="F1143" s="24">
        <v>36.189999</v>
      </c>
      <c r="G1143" s="81">
        <f t="shared" si="35"/>
        <v>-5.523336247538202E-4</v>
      </c>
      <c r="L1143" s="40">
        <v>45064</v>
      </c>
      <c r="M1143" s="43">
        <v>9.4450999999999997E-3</v>
      </c>
      <c r="N1143" s="1">
        <v>-5.523336247538202E-4</v>
      </c>
    </row>
    <row r="1144" spans="2:14">
      <c r="B1144" s="40">
        <v>45065</v>
      </c>
      <c r="C1144" s="47">
        <v>4191.9799999999996</v>
      </c>
      <c r="D1144" s="81">
        <f t="shared" si="34"/>
        <v>-1.445909410321633E-3</v>
      </c>
      <c r="E1144" s="40">
        <v>45065</v>
      </c>
      <c r="F1144" s="24">
        <v>36.779998999999997</v>
      </c>
      <c r="G1144" s="81">
        <f t="shared" si="35"/>
        <v>1.6302846540559246E-2</v>
      </c>
      <c r="L1144" s="40">
        <v>45065</v>
      </c>
      <c r="M1144" s="43">
        <v>-1.4459E-3</v>
      </c>
      <c r="N1144" s="1">
        <v>1.6302846540559246E-2</v>
      </c>
    </row>
    <row r="1145" spans="2:14">
      <c r="B1145" s="40">
        <v>45068</v>
      </c>
      <c r="C1145" s="47">
        <v>4192.63</v>
      </c>
      <c r="D1145" s="81">
        <f t="shared" si="34"/>
        <v>1.5505799168891166E-4</v>
      </c>
      <c r="E1145" s="40">
        <v>45068</v>
      </c>
      <c r="F1145" s="24">
        <v>35.939999</v>
      </c>
      <c r="G1145" s="81">
        <f t="shared" si="35"/>
        <v>-2.2838499805288071E-2</v>
      </c>
      <c r="L1145" s="40">
        <v>45068</v>
      </c>
      <c r="M1145" s="43">
        <v>1.551E-4</v>
      </c>
      <c r="N1145" s="1">
        <v>-2.2838499805288071E-2</v>
      </c>
    </row>
    <row r="1146" spans="2:14">
      <c r="B1146" s="40">
        <v>45069</v>
      </c>
      <c r="C1146" s="47">
        <v>4145.58</v>
      </c>
      <c r="D1146" s="81">
        <f t="shared" si="34"/>
        <v>-1.1222073018606449E-2</v>
      </c>
      <c r="E1146" s="40">
        <v>45069</v>
      </c>
      <c r="F1146" s="24">
        <v>36.060001</v>
      </c>
      <c r="G1146" s="81">
        <f t="shared" si="35"/>
        <v>3.338953904812314E-3</v>
      </c>
      <c r="L1146" s="40">
        <v>45069</v>
      </c>
      <c r="M1146" s="43">
        <v>-1.12221E-2</v>
      </c>
      <c r="N1146" s="1">
        <v>3.338953904812314E-3</v>
      </c>
    </row>
    <row r="1147" spans="2:14">
      <c r="B1147" s="40">
        <v>45070</v>
      </c>
      <c r="C1147" s="47">
        <v>4115.24</v>
      </c>
      <c r="D1147" s="81">
        <f t="shared" si="34"/>
        <v>-7.3186381640205633E-3</v>
      </c>
      <c r="E1147" s="40">
        <v>45070</v>
      </c>
      <c r="F1147" s="24">
        <v>36.200001</v>
      </c>
      <c r="G1147" s="81">
        <f t="shared" si="35"/>
        <v>3.8824180842369493E-3</v>
      </c>
      <c r="L1147" s="40">
        <v>45070</v>
      </c>
      <c r="M1147" s="43">
        <v>-7.3185999999999998E-3</v>
      </c>
      <c r="N1147" s="1">
        <v>3.8824180842369493E-3</v>
      </c>
    </row>
    <row r="1148" spans="2:14">
      <c r="B1148" s="40">
        <v>45071</v>
      </c>
      <c r="C1148" s="47">
        <v>4151.28</v>
      </c>
      <c r="D1148" s="81">
        <f t="shared" si="34"/>
        <v>8.7576909244662104E-3</v>
      </c>
      <c r="E1148" s="40">
        <v>45071</v>
      </c>
      <c r="F1148" s="24">
        <v>36.090000000000003</v>
      </c>
      <c r="G1148" s="81">
        <f t="shared" si="35"/>
        <v>-3.0387015735164891E-3</v>
      </c>
      <c r="L1148" s="40">
        <v>45071</v>
      </c>
      <c r="M1148" s="43">
        <v>8.7577000000000002E-3</v>
      </c>
      <c r="N1148" s="1">
        <v>-3.0387015735164891E-3</v>
      </c>
    </row>
    <row r="1149" spans="2:14">
      <c r="B1149" s="40">
        <v>45072</v>
      </c>
      <c r="C1149" s="47">
        <v>4205.45</v>
      </c>
      <c r="D1149" s="81">
        <f t="shared" si="34"/>
        <v>1.3048987300302572E-2</v>
      </c>
      <c r="E1149" s="40">
        <v>45072</v>
      </c>
      <c r="F1149" s="24">
        <v>35.939999</v>
      </c>
      <c r="G1149" s="81">
        <f t="shared" si="35"/>
        <v>-4.156303685231455E-3</v>
      </c>
      <c r="L1149" s="40">
        <v>45072</v>
      </c>
      <c r="M1149" s="43">
        <v>1.3049E-2</v>
      </c>
      <c r="N1149" s="1">
        <v>-4.156303685231455E-3</v>
      </c>
    </row>
    <row r="1150" spans="2:14">
      <c r="B1150" s="40">
        <v>45076</v>
      </c>
      <c r="C1150" s="47">
        <v>4205.5200000000004</v>
      </c>
      <c r="D1150" s="81">
        <f t="shared" si="34"/>
        <v>1.6645067709930572E-5</v>
      </c>
      <c r="E1150" s="40">
        <v>45076</v>
      </c>
      <c r="F1150" s="24">
        <v>35.330002</v>
      </c>
      <c r="G1150" s="81">
        <f t="shared" si="35"/>
        <v>-1.6972649331459366E-2</v>
      </c>
      <c r="L1150" s="40">
        <v>45076</v>
      </c>
      <c r="M1150" s="43">
        <v>1.6650000000000002E-5</v>
      </c>
      <c r="N1150" s="1">
        <v>-1.6972649331459366E-2</v>
      </c>
    </row>
    <row r="1151" spans="2:14">
      <c r="B1151" s="40">
        <v>45077</v>
      </c>
      <c r="C1151" s="47">
        <v>4179.83</v>
      </c>
      <c r="D1151" s="81">
        <f t="shared" si="34"/>
        <v>-6.1086381707852189E-3</v>
      </c>
      <c r="E1151" s="40">
        <v>45077</v>
      </c>
      <c r="F1151" s="24">
        <v>34.560001</v>
      </c>
      <c r="G1151" s="81">
        <f t="shared" si="35"/>
        <v>-2.1794535986723096E-2</v>
      </c>
      <c r="L1151" s="40">
        <v>45077</v>
      </c>
      <c r="M1151" s="43">
        <v>-6.1085999999999996E-3</v>
      </c>
      <c r="N1151" s="1">
        <v>-2.1794535986723096E-2</v>
      </c>
    </row>
    <row r="1152" spans="2:14">
      <c r="B1152" s="40">
        <v>45078</v>
      </c>
      <c r="C1152" s="47">
        <v>4221.0200000000004</v>
      </c>
      <c r="D1152" s="81">
        <f t="shared" si="34"/>
        <v>9.8544677654355262E-3</v>
      </c>
      <c r="E1152" s="40">
        <v>45078</v>
      </c>
      <c r="F1152" s="24">
        <v>32.779998999999997</v>
      </c>
      <c r="G1152" s="81">
        <f t="shared" si="35"/>
        <v>-5.1504686009702483E-2</v>
      </c>
      <c r="L1152" s="40">
        <v>45078</v>
      </c>
      <c r="M1152" s="43">
        <v>9.8545000000000004E-3</v>
      </c>
      <c r="N1152" s="1">
        <v>-5.1504686009702483E-2</v>
      </c>
    </row>
    <row r="1153" spans="2:14">
      <c r="B1153" s="40">
        <v>45079</v>
      </c>
      <c r="C1153" s="47">
        <v>4282.37</v>
      </c>
      <c r="D1153" s="81">
        <f t="shared" si="34"/>
        <v>1.4534401637518846E-2</v>
      </c>
      <c r="E1153" s="40">
        <v>45079</v>
      </c>
      <c r="F1153" s="24">
        <v>33.060001</v>
      </c>
      <c r="G1153" s="81">
        <f t="shared" si="35"/>
        <v>8.5418550500870882E-3</v>
      </c>
      <c r="L1153" s="40">
        <v>45079</v>
      </c>
      <c r="M1153" s="43">
        <v>1.4534399999999999E-2</v>
      </c>
      <c r="N1153" s="1">
        <v>8.5418550500870882E-3</v>
      </c>
    </row>
    <row r="1154" spans="2:14">
      <c r="B1154" s="40">
        <v>45082</v>
      </c>
      <c r="C1154" s="47">
        <v>4273.79</v>
      </c>
      <c r="D1154" s="81">
        <f t="shared" si="34"/>
        <v>-2.0035634473434261E-3</v>
      </c>
      <c r="E1154" s="40">
        <v>45082</v>
      </c>
      <c r="F1154" s="24">
        <v>32.630001</v>
      </c>
      <c r="G1154" s="81">
        <f t="shared" si="35"/>
        <v>-1.3006654174027354E-2</v>
      </c>
      <c r="L1154" s="40">
        <v>45082</v>
      </c>
      <c r="M1154" s="43">
        <v>-2.0035999999999999E-3</v>
      </c>
      <c r="N1154" s="1">
        <v>-1.3006654174027354E-2</v>
      </c>
    </row>
    <row r="1155" spans="2:14">
      <c r="B1155" s="40">
        <v>45083</v>
      </c>
      <c r="C1155" s="47">
        <v>4283.8500000000004</v>
      </c>
      <c r="D1155" s="81">
        <f t="shared" si="34"/>
        <v>2.3538826194080542E-3</v>
      </c>
      <c r="E1155" s="40">
        <v>45083</v>
      </c>
      <c r="F1155" s="24">
        <v>32.990001999999997</v>
      </c>
      <c r="G1155" s="81">
        <f t="shared" si="35"/>
        <v>1.10328222178111E-2</v>
      </c>
      <c r="L1155" s="40">
        <v>45083</v>
      </c>
      <c r="M1155" s="43">
        <v>2.3538999999999999E-3</v>
      </c>
      <c r="N1155" s="1">
        <v>1.10328222178111E-2</v>
      </c>
    </row>
    <row r="1156" spans="2:14">
      <c r="B1156" s="40">
        <v>45084</v>
      </c>
      <c r="C1156" s="47">
        <v>4267.5200000000004</v>
      </c>
      <c r="D1156" s="81">
        <f t="shared" si="34"/>
        <v>-3.8119915496573897E-3</v>
      </c>
      <c r="E1156" s="40">
        <v>45084</v>
      </c>
      <c r="F1156" s="24">
        <v>33.689999</v>
      </c>
      <c r="G1156" s="81">
        <f t="shared" si="35"/>
        <v>2.1218458853079269E-2</v>
      </c>
      <c r="L1156" s="40">
        <v>45084</v>
      </c>
      <c r="M1156" s="43">
        <v>-3.8119999999999999E-3</v>
      </c>
      <c r="N1156" s="1">
        <v>2.1218458853079269E-2</v>
      </c>
    </row>
    <row r="1157" spans="2:14">
      <c r="B1157" s="40">
        <v>45085</v>
      </c>
      <c r="C1157" s="47">
        <v>4293.93</v>
      </c>
      <c r="D1157" s="81">
        <f t="shared" si="34"/>
        <v>6.1886060287941191E-3</v>
      </c>
      <c r="E1157" s="40">
        <v>45085</v>
      </c>
      <c r="F1157" s="24">
        <v>33.729999999999997</v>
      </c>
      <c r="G1157" s="81">
        <f t="shared" si="35"/>
        <v>1.1873256511523156E-3</v>
      </c>
      <c r="L1157" s="40">
        <v>45085</v>
      </c>
      <c r="M1157" s="43">
        <v>6.1885999999999998E-3</v>
      </c>
      <c r="N1157" s="1">
        <v>1.1873256511523156E-3</v>
      </c>
    </row>
    <row r="1158" spans="2:14">
      <c r="B1158" s="40">
        <v>45086</v>
      </c>
      <c r="C1158" s="47">
        <v>4298.8599999999997</v>
      </c>
      <c r="D1158" s="81">
        <f t="shared" ref="D1158:D1221" si="36">C1158/C1157-1</f>
        <v>1.1481323635922358E-3</v>
      </c>
      <c r="E1158" s="40">
        <v>45086</v>
      </c>
      <c r="F1158" s="24">
        <v>33.909999999999997</v>
      </c>
      <c r="G1158" s="81">
        <f t="shared" ref="G1158:G1221" si="37">F1158/F1157-1</f>
        <v>5.3364957011561298E-3</v>
      </c>
      <c r="L1158" s="40">
        <v>45086</v>
      </c>
      <c r="M1158" s="43">
        <v>1.1481E-3</v>
      </c>
      <c r="N1158" s="1">
        <v>5.3364957011561298E-3</v>
      </c>
    </row>
    <row r="1159" spans="2:14">
      <c r="B1159" s="40">
        <v>45089</v>
      </c>
      <c r="C1159" s="47">
        <v>4338.93</v>
      </c>
      <c r="D1159" s="81">
        <f t="shared" si="36"/>
        <v>9.3210758201012212E-3</v>
      </c>
      <c r="E1159" s="40">
        <v>45089</v>
      </c>
      <c r="F1159" s="24">
        <v>34.209999000000003</v>
      </c>
      <c r="G1159" s="81">
        <f t="shared" si="37"/>
        <v>8.8469183131820728E-3</v>
      </c>
      <c r="L1159" s="40">
        <v>45089</v>
      </c>
      <c r="M1159" s="43">
        <v>9.3211000000000006E-3</v>
      </c>
      <c r="N1159" s="1">
        <v>8.8469183131820728E-3</v>
      </c>
    </row>
    <row r="1160" spans="2:14">
      <c r="B1160" s="40">
        <v>45090</v>
      </c>
      <c r="C1160" s="47">
        <v>4369.01</v>
      </c>
      <c r="D1160" s="81">
        <f t="shared" si="36"/>
        <v>6.9325847616807934E-3</v>
      </c>
      <c r="E1160" s="40">
        <v>45090</v>
      </c>
      <c r="F1160" s="24">
        <v>34.849997999999999</v>
      </c>
      <c r="G1160" s="81">
        <f t="shared" si="37"/>
        <v>1.870795143840831E-2</v>
      </c>
      <c r="L1160" s="40">
        <v>45090</v>
      </c>
      <c r="M1160" s="43">
        <v>6.9325999999999997E-3</v>
      </c>
      <c r="N1160" s="1">
        <v>1.870795143840831E-2</v>
      </c>
    </row>
    <row r="1161" spans="2:14">
      <c r="B1161" s="40">
        <v>45091</v>
      </c>
      <c r="C1161" s="47">
        <v>4372.59</v>
      </c>
      <c r="D1161" s="81">
        <f t="shared" si="36"/>
        <v>8.1940760034870941E-4</v>
      </c>
      <c r="E1161" s="40">
        <v>45091</v>
      </c>
      <c r="F1161" s="24">
        <v>35.279998999999997</v>
      </c>
      <c r="G1161" s="81">
        <f t="shared" si="37"/>
        <v>1.2338623376678459E-2</v>
      </c>
      <c r="L1161" s="40">
        <v>45091</v>
      </c>
      <c r="M1161" s="43">
        <v>8.1939999999999997E-4</v>
      </c>
      <c r="N1161" s="1">
        <v>1.2338623376678459E-2</v>
      </c>
    </row>
    <row r="1162" spans="2:14">
      <c r="B1162" s="40">
        <v>45092</v>
      </c>
      <c r="C1162" s="47">
        <v>4425.84</v>
      </c>
      <c r="D1162" s="81">
        <f t="shared" si="36"/>
        <v>1.2178136985173449E-2</v>
      </c>
      <c r="E1162" s="40">
        <v>45092</v>
      </c>
      <c r="F1162" s="24">
        <v>34.810001</v>
      </c>
      <c r="G1162" s="81">
        <f t="shared" si="37"/>
        <v>-1.332193915311608E-2</v>
      </c>
      <c r="L1162" s="40">
        <v>45092</v>
      </c>
      <c r="M1162" s="43">
        <v>1.2178100000000001E-2</v>
      </c>
      <c r="N1162" s="1">
        <v>-1.332193915311608E-2</v>
      </c>
    </row>
    <row r="1163" spans="2:14">
      <c r="B1163" s="40">
        <v>45093</v>
      </c>
      <c r="C1163" s="47">
        <v>4409.59</v>
      </c>
      <c r="D1163" s="81">
        <f t="shared" si="36"/>
        <v>-3.6716193988033385E-3</v>
      </c>
      <c r="E1163" s="40">
        <v>45093</v>
      </c>
      <c r="F1163" s="24">
        <v>33.799999</v>
      </c>
      <c r="G1163" s="81">
        <f t="shared" si="37"/>
        <v>-2.9014707583605026E-2</v>
      </c>
      <c r="L1163" s="40">
        <v>45093</v>
      </c>
      <c r="M1163" s="43">
        <v>-3.6716000000000001E-3</v>
      </c>
      <c r="N1163" s="1">
        <v>-2.9014707583605026E-2</v>
      </c>
    </row>
    <row r="1164" spans="2:14">
      <c r="B1164" s="40">
        <v>45097</v>
      </c>
      <c r="C1164" s="47">
        <v>4388.71</v>
      </c>
      <c r="D1164" s="81">
        <f t="shared" si="36"/>
        <v>-4.7351341054383544E-3</v>
      </c>
      <c r="E1164" s="40">
        <v>45097</v>
      </c>
      <c r="F1164" s="24">
        <v>33.099997999999999</v>
      </c>
      <c r="G1164" s="81">
        <f t="shared" si="37"/>
        <v>-2.0710089370120977E-2</v>
      </c>
      <c r="L1164" s="40">
        <v>45097</v>
      </c>
      <c r="M1164" s="43">
        <v>-4.7350999999999999E-3</v>
      </c>
      <c r="N1164" s="1">
        <v>-2.0710089370120977E-2</v>
      </c>
    </row>
    <row r="1165" spans="2:14">
      <c r="B1165" s="40">
        <v>45098</v>
      </c>
      <c r="C1165" s="47">
        <v>4365.6899999999996</v>
      </c>
      <c r="D1165" s="81">
        <f t="shared" si="36"/>
        <v>-5.245277085977551E-3</v>
      </c>
      <c r="E1165" s="40">
        <v>45098</v>
      </c>
      <c r="F1165" s="24">
        <v>33.189999</v>
      </c>
      <c r="G1165" s="81">
        <f t="shared" si="37"/>
        <v>2.7190636084026831E-3</v>
      </c>
      <c r="L1165" s="40">
        <v>45098</v>
      </c>
      <c r="M1165" s="43">
        <v>-5.2452999999999996E-3</v>
      </c>
      <c r="N1165" s="1">
        <v>2.7190636084026831E-3</v>
      </c>
    </row>
    <row r="1166" spans="2:14">
      <c r="B1166" s="40">
        <v>45099</v>
      </c>
      <c r="C1166" s="47">
        <v>4381.8900000000003</v>
      </c>
      <c r="D1166" s="81">
        <f t="shared" si="36"/>
        <v>3.7107536265745811E-3</v>
      </c>
      <c r="E1166" s="40">
        <v>45099</v>
      </c>
      <c r="F1166" s="24">
        <v>34.599997999999999</v>
      </c>
      <c r="G1166" s="81">
        <f t="shared" si="37"/>
        <v>4.2482646655096268E-2</v>
      </c>
      <c r="L1166" s="40">
        <v>45099</v>
      </c>
      <c r="M1166" s="43">
        <v>3.7108000000000002E-3</v>
      </c>
      <c r="N1166" s="1">
        <v>4.2482646655096268E-2</v>
      </c>
    </row>
    <row r="1167" spans="2:14">
      <c r="B1167" s="40">
        <v>45100</v>
      </c>
      <c r="C1167" s="47">
        <v>4348.33</v>
      </c>
      <c r="D1167" s="81">
        <f t="shared" si="36"/>
        <v>-7.6587956338476371E-3</v>
      </c>
      <c r="E1167" s="40">
        <v>45100</v>
      </c>
      <c r="F1167" s="24">
        <v>34.490001999999997</v>
      </c>
      <c r="G1167" s="81">
        <f t="shared" si="37"/>
        <v>-3.179075328270331E-3</v>
      </c>
      <c r="L1167" s="40">
        <v>45100</v>
      </c>
      <c r="M1167" s="43">
        <v>-7.6588000000000003E-3</v>
      </c>
      <c r="N1167" s="1">
        <v>-3.179075328270331E-3</v>
      </c>
    </row>
    <row r="1168" spans="2:14">
      <c r="B1168" s="40">
        <v>45103</v>
      </c>
      <c r="C1168" s="47">
        <v>4328.82</v>
      </c>
      <c r="D1168" s="81">
        <f t="shared" si="36"/>
        <v>-4.4867799822001508E-3</v>
      </c>
      <c r="E1168" s="40">
        <v>45103</v>
      </c>
      <c r="F1168" s="24">
        <v>35.040000999999997</v>
      </c>
      <c r="G1168" s="81">
        <f t="shared" si="37"/>
        <v>1.5946621284626206E-2</v>
      </c>
      <c r="L1168" s="40">
        <v>45103</v>
      </c>
      <c r="M1168" s="43">
        <v>-4.4868E-3</v>
      </c>
      <c r="N1168" s="1">
        <v>1.5946621284626206E-2</v>
      </c>
    </row>
    <row r="1169" spans="2:14">
      <c r="B1169" s="40">
        <v>45104</v>
      </c>
      <c r="C1169" s="47">
        <v>4378.41</v>
      </c>
      <c r="D1169" s="81">
        <f t="shared" si="36"/>
        <v>1.1455777787018118E-2</v>
      </c>
      <c r="E1169" s="40">
        <v>45104</v>
      </c>
      <c r="F1169" s="24">
        <v>35.639999000000003</v>
      </c>
      <c r="G1169" s="81">
        <f t="shared" si="37"/>
        <v>1.7123230104930887E-2</v>
      </c>
      <c r="L1169" s="40">
        <v>45104</v>
      </c>
      <c r="M1169" s="43">
        <v>1.14558E-2</v>
      </c>
      <c r="N1169" s="1">
        <v>1.7123230104930887E-2</v>
      </c>
    </row>
    <row r="1170" spans="2:14">
      <c r="B1170" s="40">
        <v>45105</v>
      </c>
      <c r="C1170" s="47">
        <v>4376.8599999999997</v>
      </c>
      <c r="D1170" s="81">
        <f t="shared" si="36"/>
        <v>-3.5400978894173374E-4</v>
      </c>
      <c r="E1170" s="40">
        <v>45105</v>
      </c>
      <c r="F1170" s="24">
        <v>35.979999999999997</v>
      </c>
      <c r="G1170" s="81">
        <f t="shared" si="37"/>
        <v>9.5398711992105145E-3</v>
      </c>
      <c r="L1170" s="40">
        <v>45105</v>
      </c>
      <c r="M1170" s="43">
        <v>-3.5399999999999999E-4</v>
      </c>
      <c r="N1170" s="1">
        <v>9.5398711992105145E-3</v>
      </c>
    </row>
    <row r="1171" spans="2:14">
      <c r="B1171" s="40">
        <v>45106</v>
      </c>
      <c r="C1171" s="47">
        <v>4396.4399999999996</v>
      </c>
      <c r="D1171" s="81">
        <f t="shared" si="36"/>
        <v>4.4735266835127518E-3</v>
      </c>
      <c r="E1171" s="40">
        <v>45106</v>
      </c>
      <c r="F1171" s="24">
        <v>36.279998999999997</v>
      </c>
      <c r="G1171" s="81">
        <f t="shared" si="37"/>
        <v>8.3379377431906931E-3</v>
      </c>
      <c r="L1171" s="40">
        <v>45106</v>
      </c>
      <c r="M1171" s="43">
        <v>4.4735E-3</v>
      </c>
      <c r="N1171" s="1">
        <v>8.3379377431906931E-3</v>
      </c>
    </row>
    <row r="1172" spans="2:14">
      <c r="B1172" s="40">
        <v>45107</v>
      </c>
      <c r="C1172" s="47">
        <v>4450.38</v>
      </c>
      <c r="D1172" s="81">
        <f t="shared" si="36"/>
        <v>1.2269017659743087E-2</v>
      </c>
      <c r="E1172" s="40">
        <v>45107</v>
      </c>
      <c r="F1172" s="24">
        <v>36.729999999999997</v>
      </c>
      <c r="G1172" s="81">
        <f t="shared" si="37"/>
        <v>1.2403556019943585E-2</v>
      </c>
      <c r="L1172" s="40">
        <v>45107</v>
      </c>
      <c r="M1172" s="43">
        <v>1.2269E-2</v>
      </c>
      <c r="N1172" s="1">
        <v>1.2403556019943585E-2</v>
      </c>
    </row>
    <row r="1173" spans="2:14">
      <c r="B1173" s="40">
        <v>45110</v>
      </c>
      <c r="C1173" s="47">
        <v>4455.59</v>
      </c>
      <c r="D1173" s="81">
        <f t="shared" si="36"/>
        <v>1.1706865481149187E-3</v>
      </c>
      <c r="E1173" s="40">
        <v>45110</v>
      </c>
      <c r="F1173" s="24">
        <v>36.689999</v>
      </c>
      <c r="G1173" s="81">
        <f t="shared" si="37"/>
        <v>-1.0890552681730448E-3</v>
      </c>
      <c r="L1173" s="40">
        <v>45110</v>
      </c>
      <c r="M1173" s="43">
        <v>1.1707E-3</v>
      </c>
      <c r="N1173" s="1">
        <v>-1.0890552681730448E-3</v>
      </c>
    </row>
    <row r="1174" spans="2:14">
      <c r="B1174" s="40">
        <v>45112</v>
      </c>
      <c r="C1174" s="47">
        <v>4446.82</v>
      </c>
      <c r="D1174" s="81">
        <f t="shared" si="36"/>
        <v>-1.9683139606652134E-3</v>
      </c>
      <c r="E1174" s="40">
        <v>45112</v>
      </c>
      <c r="F1174" s="24">
        <v>37.150002000000001</v>
      </c>
      <c r="G1174" s="81">
        <f t="shared" si="37"/>
        <v>1.2537558259404724E-2</v>
      </c>
      <c r="L1174" s="40">
        <v>45112</v>
      </c>
      <c r="M1174" s="43">
        <v>-1.9683000000000001E-3</v>
      </c>
      <c r="N1174" s="1">
        <v>1.2537558259404724E-2</v>
      </c>
    </row>
    <row r="1175" spans="2:14">
      <c r="B1175" s="40">
        <v>45113</v>
      </c>
      <c r="C1175" s="47">
        <v>4411.59</v>
      </c>
      <c r="D1175" s="81">
        <f t="shared" si="36"/>
        <v>-7.9225154155103672E-3</v>
      </c>
      <c r="E1175" s="40">
        <v>45113</v>
      </c>
      <c r="F1175" s="24">
        <v>36.669998</v>
      </c>
      <c r="G1175" s="81">
        <f t="shared" si="37"/>
        <v>-1.2920699169814309E-2</v>
      </c>
      <c r="L1175" s="40">
        <v>45113</v>
      </c>
      <c r="M1175" s="43">
        <v>-7.9225000000000007E-3</v>
      </c>
      <c r="N1175" s="1">
        <v>-1.2920699169814309E-2</v>
      </c>
    </row>
    <row r="1176" spans="2:14">
      <c r="B1176" s="40">
        <v>45114</v>
      </c>
      <c r="C1176" s="47">
        <v>4398.95</v>
      </c>
      <c r="D1176" s="81">
        <f t="shared" si="36"/>
        <v>-2.8651801277997935E-3</v>
      </c>
      <c r="E1176" s="40">
        <v>45114</v>
      </c>
      <c r="F1176" s="24">
        <v>37.029998999999997</v>
      </c>
      <c r="G1176" s="81">
        <f t="shared" si="37"/>
        <v>9.8173171430224748E-3</v>
      </c>
      <c r="L1176" s="40">
        <v>45114</v>
      </c>
      <c r="M1176" s="43">
        <v>-2.8652E-3</v>
      </c>
      <c r="N1176" s="1">
        <v>9.8173171430224748E-3</v>
      </c>
    </row>
    <row r="1177" spans="2:14">
      <c r="B1177" s="40">
        <v>45117</v>
      </c>
      <c r="C1177" s="47">
        <v>4409.53</v>
      </c>
      <c r="D1177" s="81">
        <f t="shared" si="36"/>
        <v>2.4051194034939716E-3</v>
      </c>
      <c r="E1177" s="40">
        <v>45117</v>
      </c>
      <c r="F1177" s="24">
        <v>37.490001999999997</v>
      </c>
      <c r="G1177" s="81">
        <f t="shared" si="37"/>
        <v>1.2422441599309719E-2</v>
      </c>
      <c r="L1177" s="40">
        <v>45117</v>
      </c>
      <c r="M1177" s="43">
        <v>2.4050999999999999E-3</v>
      </c>
      <c r="N1177" s="1">
        <v>1.2422441599309719E-2</v>
      </c>
    </row>
    <row r="1178" spans="2:14">
      <c r="B1178" s="40">
        <v>45118</v>
      </c>
      <c r="C1178" s="47">
        <v>4439.26</v>
      </c>
      <c r="D1178" s="81">
        <f t="shared" si="36"/>
        <v>6.7422151567175792E-3</v>
      </c>
      <c r="E1178" s="40">
        <v>45118</v>
      </c>
      <c r="F1178" s="24">
        <v>38.259998000000003</v>
      </c>
      <c r="G1178" s="81">
        <f t="shared" si="37"/>
        <v>2.0538702558618338E-2</v>
      </c>
      <c r="L1178" s="40">
        <v>45118</v>
      </c>
      <c r="M1178" s="43">
        <v>6.7422000000000003E-3</v>
      </c>
      <c r="N1178" s="1">
        <v>2.0538702558618338E-2</v>
      </c>
    </row>
    <row r="1179" spans="2:14">
      <c r="B1179" s="40">
        <v>45119</v>
      </c>
      <c r="C1179" s="47">
        <v>4472.16</v>
      </c>
      <c r="D1179" s="81">
        <f t="shared" si="36"/>
        <v>7.4111451007599083E-3</v>
      </c>
      <c r="E1179" s="40">
        <v>45119</v>
      </c>
      <c r="F1179" s="24">
        <v>37.970001000000003</v>
      </c>
      <c r="G1179" s="81">
        <f t="shared" si="37"/>
        <v>-7.5796397062017906E-3</v>
      </c>
      <c r="L1179" s="40">
        <v>45119</v>
      </c>
      <c r="M1179" s="43">
        <v>7.4111000000000003E-3</v>
      </c>
      <c r="N1179" s="1">
        <v>-7.5796397062017906E-3</v>
      </c>
    </row>
    <row r="1180" spans="2:14">
      <c r="B1180" s="40">
        <v>45120</v>
      </c>
      <c r="C1180" s="47">
        <v>4510.04</v>
      </c>
      <c r="D1180" s="81">
        <f t="shared" si="36"/>
        <v>8.4701799577833192E-3</v>
      </c>
      <c r="E1180" s="40">
        <v>45120</v>
      </c>
      <c r="F1180" s="24">
        <v>38.259998000000003</v>
      </c>
      <c r="G1180" s="81">
        <f t="shared" si="37"/>
        <v>7.6375294275077277E-3</v>
      </c>
      <c r="L1180" s="40">
        <v>45120</v>
      </c>
      <c r="M1180" s="43">
        <v>8.4702000000000006E-3</v>
      </c>
      <c r="N1180" s="1">
        <v>7.6375294275077277E-3</v>
      </c>
    </row>
    <row r="1181" spans="2:14">
      <c r="B1181" s="40">
        <v>45121</v>
      </c>
      <c r="C1181" s="47">
        <v>4505.42</v>
      </c>
      <c r="D1181" s="81">
        <f t="shared" si="36"/>
        <v>-1.0243811584819129E-3</v>
      </c>
      <c r="E1181" s="40">
        <v>45121</v>
      </c>
      <c r="F1181" s="24">
        <v>37.630001</v>
      </c>
      <c r="G1181" s="81">
        <f t="shared" si="37"/>
        <v>-1.6466205774501197E-2</v>
      </c>
      <c r="L1181" s="40">
        <v>45121</v>
      </c>
      <c r="M1181" s="43">
        <v>-1.0244E-3</v>
      </c>
      <c r="N1181" s="1">
        <v>-1.6466205774501197E-2</v>
      </c>
    </row>
    <row r="1182" spans="2:14">
      <c r="B1182" s="40">
        <v>45124</v>
      </c>
      <c r="C1182" s="47">
        <v>4522.79</v>
      </c>
      <c r="D1182" s="81">
        <f t="shared" si="36"/>
        <v>3.8553564373575711E-3</v>
      </c>
      <c r="E1182" s="40">
        <v>45124</v>
      </c>
      <c r="F1182" s="24">
        <v>37.959999000000003</v>
      </c>
      <c r="G1182" s="81">
        <f t="shared" si="37"/>
        <v>8.7695453422922398E-3</v>
      </c>
      <c r="L1182" s="40">
        <v>45124</v>
      </c>
      <c r="M1182" s="43">
        <v>3.8554000000000001E-3</v>
      </c>
      <c r="N1182" s="1">
        <v>8.7695453422922398E-3</v>
      </c>
    </row>
    <row r="1183" spans="2:14">
      <c r="B1183" s="40">
        <v>45125</v>
      </c>
      <c r="C1183" s="47">
        <v>4554.9799999999996</v>
      </c>
      <c r="D1183" s="81">
        <f t="shared" si="36"/>
        <v>7.1172882225352119E-3</v>
      </c>
      <c r="E1183" s="40">
        <v>45125</v>
      </c>
      <c r="F1183" s="24">
        <v>38.520000000000003</v>
      </c>
      <c r="G1183" s="81">
        <f t="shared" si="37"/>
        <v>1.4752397648904125E-2</v>
      </c>
      <c r="L1183" s="40">
        <v>45125</v>
      </c>
      <c r="M1183" s="43">
        <v>7.1173E-3</v>
      </c>
      <c r="N1183" s="1">
        <v>1.4752397648904125E-2</v>
      </c>
    </row>
    <row r="1184" spans="2:14">
      <c r="B1184" s="40">
        <v>45126</v>
      </c>
      <c r="C1184" s="47">
        <v>4565.72</v>
      </c>
      <c r="D1184" s="81">
        <f t="shared" si="36"/>
        <v>2.3578588709500803E-3</v>
      </c>
      <c r="E1184" s="40">
        <v>45126</v>
      </c>
      <c r="F1184" s="24">
        <v>38.939999</v>
      </c>
      <c r="G1184" s="81">
        <f t="shared" si="37"/>
        <v>1.0903400830737153E-2</v>
      </c>
      <c r="L1184" s="40">
        <v>45126</v>
      </c>
      <c r="M1184" s="43">
        <v>2.3579E-3</v>
      </c>
      <c r="N1184" s="1">
        <v>1.0903400830737153E-2</v>
      </c>
    </row>
    <row r="1185" spans="2:14">
      <c r="B1185" s="40">
        <v>45127</v>
      </c>
      <c r="C1185" s="47">
        <v>4534.87</v>
      </c>
      <c r="D1185" s="81">
        <f t="shared" si="36"/>
        <v>-6.7568751478409572E-3</v>
      </c>
      <c r="E1185" s="40">
        <v>45127</v>
      </c>
      <c r="F1185" s="24">
        <v>39.840000000000003</v>
      </c>
      <c r="G1185" s="81">
        <f t="shared" si="37"/>
        <v>2.3112507013675065E-2</v>
      </c>
      <c r="L1185" s="40">
        <v>45127</v>
      </c>
      <c r="M1185" s="43">
        <v>-6.7568999999999997E-3</v>
      </c>
      <c r="N1185" s="1">
        <v>2.3112507013675065E-2</v>
      </c>
    </row>
    <row r="1186" spans="2:14">
      <c r="B1186" s="40">
        <v>45128</v>
      </c>
      <c r="C1186" s="47">
        <v>4536.34</v>
      </c>
      <c r="D1186" s="81">
        <f t="shared" si="36"/>
        <v>3.2415482692993436E-4</v>
      </c>
      <c r="E1186" s="40">
        <v>45128</v>
      </c>
      <c r="F1186" s="24">
        <v>40.07</v>
      </c>
      <c r="G1186" s="81">
        <f t="shared" si="37"/>
        <v>5.7730923694778724E-3</v>
      </c>
      <c r="L1186" s="40">
        <v>45128</v>
      </c>
      <c r="M1186" s="43">
        <v>3.2420000000000002E-4</v>
      </c>
      <c r="N1186" s="1">
        <v>5.7730923694778724E-3</v>
      </c>
    </row>
    <row r="1187" spans="2:14">
      <c r="B1187" s="40">
        <v>45131</v>
      </c>
      <c r="C1187" s="47">
        <v>4554.6400000000003</v>
      </c>
      <c r="D1187" s="81">
        <f t="shared" si="36"/>
        <v>4.0340891555747938E-3</v>
      </c>
      <c r="E1187" s="40">
        <v>45131</v>
      </c>
      <c r="F1187" s="24">
        <v>39.959999000000003</v>
      </c>
      <c r="G1187" s="81">
        <f t="shared" si="37"/>
        <v>-2.7452208634888287E-3</v>
      </c>
      <c r="L1187" s="40">
        <v>45131</v>
      </c>
      <c r="M1187" s="43">
        <v>4.0340999999999997E-3</v>
      </c>
      <c r="N1187" s="1">
        <v>-2.7452208634888287E-3</v>
      </c>
    </row>
    <row r="1188" spans="2:14">
      <c r="B1188" s="40">
        <v>45132</v>
      </c>
      <c r="C1188" s="47">
        <v>4567.46</v>
      </c>
      <c r="D1188" s="81">
        <f t="shared" si="36"/>
        <v>2.8147120299297779E-3</v>
      </c>
      <c r="E1188" s="40">
        <v>45132</v>
      </c>
      <c r="F1188" s="24">
        <v>39.200001</v>
      </c>
      <c r="G1188" s="81">
        <f t="shared" si="37"/>
        <v>-1.9018969444919209E-2</v>
      </c>
      <c r="L1188" s="40">
        <v>45132</v>
      </c>
      <c r="M1188" s="43">
        <v>2.8146999999999998E-3</v>
      </c>
      <c r="N1188" s="1">
        <v>-1.9018969444919209E-2</v>
      </c>
    </row>
    <row r="1189" spans="2:14">
      <c r="B1189" s="40">
        <v>45133</v>
      </c>
      <c r="C1189" s="47">
        <v>4566.75</v>
      </c>
      <c r="D1189" s="81">
        <f t="shared" si="36"/>
        <v>-1.5544744781559316E-4</v>
      </c>
      <c r="E1189" s="40">
        <v>45133</v>
      </c>
      <c r="F1189" s="24">
        <v>38.770000000000003</v>
      </c>
      <c r="G1189" s="81">
        <f t="shared" si="37"/>
        <v>-1.0969412985474047E-2</v>
      </c>
      <c r="L1189" s="40">
        <v>45133</v>
      </c>
      <c r="M1189" s="43">
        <v>-1.5540000000000001E-4</v>
      </c>
      <c r="N1189" s="1">
        <v>-1.0969412985474047E-2</v>
      </c>
    </row>
    <row r="1190" spans="2:14">
      <c r="B1190" s="40">
        <v>45134</v>
      </c>
      <c r="C1190" s="47">
        <v>4537.41</v>
      </c>
      <c r="D1190" s="81">
        <f t="shared" si="36"/>
        <v>-6.4247002791920638E-3</v>
      </c>
      <c r="E1190" s="40">
        <v>45134</v>
      </c>
      <c r="F1190" s="24">
        <v>39.229999999999997</v>
      </c>
      <c r="G1190" s="81">
        <f t="shared" si="37"/>
        <v>1.1864843951508774E-2</v>
      </c>
      <c r="L1190" s="40">
        <v>45134</v>
      </c>
      <c r="M1190" s="43">
        <v>-6.4247000000000002E-3</v>
      </c>
      <c r="N1190" s="1">
        <v>1.1864843951508774E-2</v>
      </c>
    </row>
    <row r="1191" spans="2:14">
      <c r="B1191" s="40">
        <v>45135</v>
      </c>
      <c r="C1191" s="47">
        <v>4582.2299999999996</v>
      </c>
      <c r="D1191" s="81">
        <f t="shared" si="36"/>
        <v>9.8778818753428865E-3</v>
      </c>
      <c r="E1191" s="40">
        <v>45135</v>
      </c>
      <c r="F1191" s="24">
        <v>38.919998</v>
      </c>
      <c r="G1191" s="81">
        <f t="shared" si="37"/>
        <v>-7.902166709151115E-3</v>
      </c>
      <c r="L1191" s="40">
        <v>45135</v>
      </c>
      <c r="M1191" s="43">
        <v>9.8779000000000002E-3</v>
      </c>
      <c r="N1191" s="1">
        <v>-7.902166709151115E-3</v>
      </c>
    </row>
    <row r="1192" spans="2:14">
      <c r="B1192" s="40">
        <v>45138</v>
      </c>
      <c r="C1192" s="47">
        <v>4588.96</v>
      </c>
      <c r="D1192" s="81">
        <f t="shared" si="36"/>
        <v>1.4687171966489831E-3</v>
      </c>
      <c r="E1192" s="40">
        <v>45138</v>
      </c>
      <c r="F1192" s="24">
        <v>39.25</v>
      </c>
      <c r="G1192" s="81">
        <f t="shared" si="37"/>
        <v>8.4789829639764225E-3</v>
      </c>
      <c r="L1192" s="40">
        <v>45138</v>
      </c>
      <c r="M1192" s="43">
        <v>1.4687000000000001E-3</v>
      </c>
      <c r="N1192" s="1">
        <v>8.4789829639764225E-3</v>
      </c>
    </row>
    <row r="1193" spans="2:14">
      <c r="B1193" s="40">
        <v>45139</v>
      </c>
      <c r="C1193" s="47">
        <v>4576.7299999999996</v>
      </c>
      <c r="D1193" s="81">
        <f t="shared" si="36"/>
        <v>-2.6650918726683903E-3</v>
      </c>
      <c r="E1193" s="40">
        <v>45139</v>
      </c>
      <c r="F1193" s="24">
        <v>38.259998000000003</v>
      </c>
      <c r="G1193" s="81">
        <f t="shared" si="37"/>
        <v>-2.5222980891719704E-2</v>
      </c>
      <c r="L1193" s="40">
        <v>45139</v>
      </c>
      <c r="M1193" s="43">
        <v>-2.6651000000000001E-3</v>
      </c>
      <c r="N1193" s="1">
        <v>-2.5222980891719704E-2</v>
      </c>
    </row>
    <row r="1194" spans="2:14">
      <c r="B1194" s="40">
        <v>45140</v>
      </c>
      <c r="C1194" s="47">
        <v>4513.3900000000003</v>
      </c>
      <c r="D1194" s="81">
        <f t="shared" si="36"/>
        <v>-1.383957541738301E-2</v>
      </c>
      <c r="E1194" s="40">
        <v>45140</v>
      </c>
      <c r="F1194" s="24">
        <v>37.380001</v>
      </c>
      <c r="G1194" s="81">
        <f t="shared" si="37"/>
        <v>-2.3000445530603653E-2</v>
      </c>
      <c r="L1194" s="40">
        <v>45140</v>
      </c>
      <c r="M1194" s="43">
        <v>-1.3839600000000001E-2</v>
      </c>
      <c r="N1194" s="1">
        <v>-2.3000445530603653E-2</v>
      </c>
    </row>
    <row r="1195" spans="2:14">
      <c r="B1195" s="40">
        <v>45141</v>
      </c>
      <c r="C1195" s="47">
        <v>4501.8900000000003</v>
      </c>
      <c r="D1195" s="81">
        <f t="shared" si="36"/>
        <v>-2.5479739176096361E-3</v>
      </c>
      <c r="E1195" s="40">
        <v>45141</v>
      </c>
      <c r="F1195" s="24">
        <v>38.479999999999997</v>
      </c>
      <c r="G1195" s="81">
        <f t="shared" si="37"/>
        <v>2.9427473798087744E-2</v>
      </c>
      <c r="L1195" s="40">
        <v>45141</v>
      </c>
      <c r="M1195" s="43">
        <v>-2.5479999999999999E-3</v>
      </c>
      <c r="N1195" s="1">
        <v>2.9427473798087744E-2</v>
      </c>
    </row>
    <row r="1196" spans="2:14">
      <c r="B1196" s="40">
        <v>45142</v>
      </c>
      <c r="C1196" s="47">
        <v>4478.03</v>
      </c>
      <c r="D1196" s="81">
        <f t="shared" si="36"/>
        <v>-5.2999962238083898E-3</v>
      </c>
      <c r="E1196" s="40">
        <v>45142</v>
      </c>
      <c r="F1196" s="24">
        <v>38.009998000000003</v>
      </c>
      <c r="G1196" s="81">
        <f t="shared" si="37"/>
        <v>-1.221418918918904E-2</v>
      </c>
      <c r="L1196" s="40">
        <v>45142</v>
      </c>
      <c r="M1196" s="43">
        <v>-5.3E-3</v>
      </c>
      <c r="N1196" s="1">
        <v>-1.221418918918904E-2</v>
      </c>
    </row>
    <row r="1197" spans="2:14">
      <c r="B1197" s="40">
        <v>45145</v>
      </c>
      <c r="C1197" s="47">
        <v>4518.4399999999996</v>
      </c>
      <c r="D1197" s="81">
        <f t="shared" si="36"/>
        <v>9.02405745383561E-3</v>
      </c>
      <c r="E1197" s="40">
        <v>45145</v>
      </c>
      <c r="F1197" s="24">
        <v>38.189999</v>
      </c>
      <c r="G1197" s="81">
        <f t="shared" si="37"/>
        <v>4.7356224538606106E-3</v>
      </c>
      <c r="L1197" s="40">
        <v>45145</v>
      </c>
      <c r="M1197" s="43">
        <v>9.0241000000000002E-3</v>
      </c>
      <c r="N1197" s="1">
        <v>4.7356224538606106E-3</v>
      </c>
    </row>
    <row r="1198" spans="2:14">
      <c r="B1198" s="40">
        <v>45146</v>
      </c>
      <c r="C1198" s="47">
        <v>4499.38</v>
      </c>
      <c r="D1198" s="81">
        <f t="shared" si="36"/>
        <v>-4.2182700223970526E-3</v>
      </c>
      <c r="E1198" s="40">
        <v>45146</v>
      </c>
      <c r="F1198" s="24">
        <v>37.299999</v>
      </c>
      <c r="G1198" s="81">
        <f t="shared" si="37"/>
        <v>-2.3304530591896633E-2</v>
      </c>
      <c r="L1198" s="40">
        <v>45146</v>
      </c>
      <c r="M1198" s="43">
        <v>-4.2183000000000003E-3</v>
      </c>
      <c r="N1198" s="1">
        <v>-2.3304530591896633E-2</v>
      </c>
    </row>
    <row r="1199" spans="2:14">
      <c r="B1199" s="40">
        <v>45147</v>
      </c>
      <c r="C1199" s="47">
        <v>4467.71</v>
      </c>
      <c r="D1199" s="81">
        <f t="shared" si="36"/>
        <v>-7.0387475607750494E-3</v>
      </c>
      <c r="E1199" s="40">
        <v>45147</v>
      </c>
      <c r="F1199" s="24">
        <v>37.490001999999997</v>
      </c>
      <c r="G1199" s="81">
        <f t="shared" si="37"/>
        <v>5.0939143456811831E-3</v>
      </c>
      <c r="L1199" s="40">
        <v>45147</v>
      </c>
      <c r="M1199" s="43">
        <v>-7.0387000000000002E-3</v>
      </c>
      <c r="N1199" s="1">
        <v>5.0939143456811831E-3</v>
      </c>
    </row>
    <row r="1200" spans="2:14">
      <c r="B1200" s="40">
        <v>45148</v>
      </c>
      <c r="C1200" s="47">
        <v>4468.83</v>
      </c>
      <c r="D1200" s="81">
        <f t="shared" si="36"/>
        <v>2.5068771249703303E-4</v>
      </c>
      <c r="E1200" s="40">
        <v>45148</v>
      </c>
      <c r="F1200" s="24">
        <v>37.909999999999997</v>
      </c>
      <c r="G1200" s="81">
        <f t="shared" si="37"/>
        <v>1.1202933518114966E-2</v>
      </c>
      <c r="L1200" s="40">
        <v>45148</v>
      </c>
      <c r="M1200" s="43">
        <v>2.5070000000000002E-4</v>
      </c>
      <c r="N1200" s="1">
        <v>1.1202933518114966E-2</v>
      </c>
    </row>
    <row r="1201" spans="2:14">
      <c r="B1201" s="40">
        <v>45149</v>
      </c>
      <c r="C1201" s="47">
        <v>4464.05</v>
      </c>
      <c r="D1201" s="81">
        <f t="shared" si="36"/>
        <v>-1.0696312010077813E-3</v>
      </c>
      <c r="E1201" s="40">
        <v>45149</v>
      </c>
      <c r="F1201" s="24">
        <v>38.479999999999997</v>
      </c>
      <c r="G1201" s="81">
        <f t="shared" si="37"/>
        <v>1.5035610656818799E-2</v>
      </c>
      <c r="L1201" s="40">
        <v>45149</v>
      </c>
      <c r="M1201" s="43">
        <v>-1.0696E-3</v>
      </c>
      <c r="N1201" s="1">
        <v>1.5035610656818799E-2</v>
      </c>
    </row>
    <row r="1202" spans="2:14">
      <c r="B1202" s="40">
        <v>45152</v>
      </c>
      <c r="C1202" s="47">
        <v>4489.72</v>
      </c>
      <c r="D1202" s="81">
        <f t="shared" si="36"/>
        <v>5.7503836202552616E-3</v>
      </c>
      <c r="E1202" s="40">
        <v>45152</v>
      </c>
      <c r="F1202" s="24">
        <v>38.459999000000003</v>
      </c>
      <c r="G1202" s="81">
        <f t="shared" si="37"/>
        <v>-5.1977650727630387E-4</v>
      </c>
      <c r="L1202" s="40">
        <v>45152</v>
      </c>
      <c r="M1202" s="43">
        <v>5.7504000000000001E-3</v>
      </c>
      <c r="N1202" s="1">
        <v>-5.1977650727630387E-4</v>
      </c>
    </row>
    <row r="1203" spans="2:14">
      <c r="B1203" s="40">
        <v>45153</v>
      </c>
      <c r="C1203" s="47">
        <v>4437.8599999999997</v>
      </c>
      <c r="D1203" s="81">
        <f t="shared" si="36"/>
        <v>-1.1550831677699436E-2</v>
      </c>
      <c r="E1203" s="40">
        <v>45153</v>
      </c>
      <c r="F1203" s="24">
        <v>37.990001999999997</v>
      </c>
      <c r="G1203" s="81">
        <f t="shared" si="37"/>
        <v>-1.2220411134176268E-2</v>
      </c>
      <c r="L1203" s="40">
        <v>45153</v>
      </c>
      <c r="M1203" s="43">
        <v>-1.15508E-2</v>
      </c>
      <c r="N1203" s="1">
        <v>-1.2220411134176268E-2</v>
      </c>
    </row>
    <row r="1204" spans="2:14">
      <c r="B1204" s="40">
        <v>45154</v>
      </c>
      <c r="C1204" s="47">
        <v>4404.33</v>
      </c>
      <c r="D1204" s="81">
        <f t="shared" si="36"/>
        <v>-7.5554433893813E-3</v>
      </c>
      <c r="E1204" s="40">
        <v>45154</v>
      </c>
      <c r="F1204" s="24">
        <v>37.259998000000003</v>
      </c>
      <c r="G1204" s="81">
        <f t="shared" si="37"/>
        <v>-1.9215687327418296E-2</v>
      </c>
      <c r="L1204" s="40">
        <v>45154</v>
      </c>
      <c r="M1204" s="43">
        <v>-7.5554000000000003E-3</v>
      </c>
      <c r="N1204" s="1">
        <v>-1.9215687327418296E-2</v>
      </c>
    </row>
    <row r="1205" spans="2:14">
      <c r="B1205" s="40">
        <v>45155</v>
      </c>
      <c r="C1205" s="47">
        <v>4370.3599999999997</v>
      </c>
      <c r="D1205" s="81">
        <f t="shared" si="36"/>
        <v>-7.7128643857296009E-3</v>
      </c>
      <c r="E1205" s="40">
        <v>45155</v>
      </c>
      <c r="F1205" s="24">
        <v>37.529998999999997</v>
      </c>
      <c r="G1205" s="81">
        <f t="shared" si="37"/>
        <v>7.2464040389910167E-3</v>
      </c>
      <c r="L1205" s="40">
        <v>45155</v>
      </c>
      <c r="M1205" s="43">
        <v>-7.7129E-3</v>
      </c>
      <c r="N1205" s="1">
        <v>7.2464040389910167E-3</v>
      </c>
    </row>
    <row r="1206" spans="2:14">
      <c r="B1206" s="40">
        <v>45156</v>
      </c>
      <c r="C1206" s="47">
        <v>4369.71</v>
      </c>
      <c r="D1206" s="81">
        <f t="shared" si="36"/>
        <v>-1.4872916647590273E-4</v>
      </c>
      <c r="E1206" s="40">
        <v>45156</v>
      </c>
      <c r="F1206" s="24">
        <v>39.119999</v>
      </c>
      <c r="G1206" s="81">
        <f t="shared" si="37"/>
        <v>4.2366108243168554E-2</v>
      </c>
      <c r="L1206" s="40">
        <v>45156</v>
      </c>
      <c r="M1206" s="43">
        <v>-1.4870000000000001E-4</v>
      </c>
      <c r="N1206" s="1">
        <v>4.2366108243168554E-2</v>
      </c>
    </row>
    <row r="1207" spans="2:14">
      <c r="B1207" s="40">
        <v>45159</v>
      </c>
      <c r="C1207" s="47">
        <v>4399.7700000000004</v>
      </c>
      <c r="D1207" s="81">
        <f t="shared" si="36"/>
        <v>6.8791750482297687E-3</v>
      </c>
      <c r="E1207" s="40">
        <v>45159</v>
      </c>
      <c r="F1207" s="24">
        <v>39.169998</v>
      </c>
      <c r="G1207" s="81">
        <f t="shared" si="37"/>
        <v>1.2780930797058332E-3</v>
      </c>
      <c r="L1207" s="40">
        <v>45159</v>
      </c>
      <c r="M1207" s="43">
        <v>6.8792000000000002E-3</v>
      </c>
      <c r="N1207" s="1">
        <v>1.2780930797058332E-3</v>
      </c>
    </row>
    <row r="1208" spans="2:14">
      <c r="B1208" s="40">
        <v>45160</v>
      </c>
      <c r="C1208" s="47">
        <v>4387.55</v>
      </c>
      <c r="D1208" s="81">
        <f t="shared" si="36"/>
        <v>-2.7774179104816943E-3</v>
      </c>
      <c r="E1208" s="40">
        <v>45160</v>
      </c>
      <c r="F1208" s="24">
        <v>38.700001</v>
      </c>
      <c r="G1208" s="81">
        <f t="shared" si="37"/>
        <v>-1.1998902833745384E-2</v>
      </c>
      <c r="L1208" s="40">
        <v>45160</v>
      </c>
      <c r="M1208" s="43">
        <v>-2.7774000000000002E-3</v>
      </c>
      <c r="N1208" s="1">
        <v>-1.1998902833745384E-2</v>
      </c>
    </row>
    <row r="1209" spans="2:14">
      <c r="B1209" s="40">
        <v>45161</v>
      </c>
      <c r="C1209" s="47">
        <v>4436.01</v>
      </c>
      <c r="D1209" s="81">
        <f t="shared" si="36"/>
        <v>1.1044888377340412E-2</v>
      </c>
      <c r="E1209" s="40">
        <v>45161</v>
      </c>
      <c r="F1209" s="24">
        <v>39.459999000000003</v>
      </c>
      <c r="G1209" s="81">
        <f t="shared" si="37"/>
        <v>1.9638190707023551E-2</v>
      </c>
      <c r="L1209" s="40">
        <v>45161</v>
      </c>
      <c r="M1209" s="43">
        <v>1.10449E-2</v>
      </c>
      <c r="N1209" s="1">
        <v>1.9638190707023551E-2</v>
      </c>
    </row>
    <row r="1210" spans="2:14">
      <c r="B1210" s="40">
        <v>45162</v>
      </c>
      <c r="C1210" s="47">
        <v>4376.3100000000004</v>
      </c>
      <c r="D1210" s="81">
        <f t="shared" si="36"/>
        <v>-1.3458039995401183E-2</v>
      </c>
      <c r="E1210" s="40">
        <v>45162</v>
      </c>
      <c r="F1210" s="24">
        <v>38.970001000000003</v>
      </c>
      <c r="G1210" s="81">
        <f t="shared" si="37"/>
        <v>-1.2417587744997127E-2</v>
      </c>
      <c r="L1210" s="40">
        <v>45162</v>
      </c>
      <c r="M1210" s="43">
        <v>-1.3457999999999999E-2</v>
      </c>
      <c r="N1210" s="1">
        <v>-1.2417587744997127E-2</v>
      </c>
    </row>
    <row r="1211" spans="2:14">
      <c r="B1211" s="40">
        <v>45163</v>
      </c>
      <c r="C1211" s="47">
        <v>4405.71</v>
      </c>
      <c r="D1211" s="81">
        <f t="shared" si="36"/>
        <v>6.7179884423178571E-3</v>
      </c>
      <c r="E1211" s="40">
        <v>45163</v>
      </c>
      <c r="F1211" s="24">
        <v>39.490001999999997</v>
      </c>
      <c r="G1211" s="81">
        <f t="shared" si="37"/>
        <v>1.3343622957566525E-2</v>
      </c>
      <c r="L1211" s="40">
        <v>45163</v>
      </c>
      <c r="M1211" s="43">
        <v>6.718E-3</v>
      </c>
      <c r="N1211" s="1">
        <v>1.3343622957566525E-2</v>
      </c>
    </row>
    <row r="1212" spans="2:14">
      <c r="B1212" s="40">
        <v>45166</v>
      </c>
      <c r="C1212" s="47">
        <v>4433.3100000000004</v>
      </c>
      <c r="D1212" s="81">
        <f t="shared" si="36"/>
        <v>6.2645975336552695E-3</v>
      </c>
      <c r="E1212" s="40">
        <v>45166</v>
      </c>
      <c r="F1212" s="24">
        <v>39.919998</v>
      </c>
      <c r="G1212" s="81">
        <f t="shared" si="37"/>
        <v>1.0888730772918187E-2</v>
      </c>
      <c r="L1212" s="40">
        <v>45166</v>
      </c>
      <c r="M1212" s="43">
        <v>6.2646000000000004E-3</v>
      </c>
      <c r="N1212" s="1">
        <v>1.0888730772918187E-2</v>
      </c>
    </row>
    <row r="1213" spans="2:14">
      <c r="B1213" s="40">
        <v>45167</v>
      </c>
      <c r="C1213" s="47">
        <v>4497.63</v>
      </c>
      <c r="D1213" s="81">
        <f t="shared" si="36"/>
        <v>1.4508347036412905E-2</v>
      </c>
      <c r="E1213" s="40">
        <v>45167</v>
      </c>
      <c r="F1213" s="24">
        <v>40.520000000000003</v>
      </c>
      <c r="G1213" s="81">
        <f t="shared" si="37"/>
        <v>1.5030110973452526E-2</v>
      </c>
      <c r="L1213" s="40">
        <v>45167</v>
      </c>
      <c r="M1213" s="43">
        <v>1.45083E-2</v>
      </c>
      <c r="N1213" s="1">
        <v>1.5030110973452526E-2</v>
      </c>
    </row>
    <row r="1214" spans="2:14">
      <c r="B1214" s="40">
        <v>45168</v>
      </c>
      <c r="C1214" s="47">
        <v>4514.87</v>
      </c>
      <c r="D1214" s="81">
        <f t="shared" si="36"/>
        <v>3.8331298928546698E-3</v>
      </c>
      <c r="E1214" s="40">
        <v>45168</v>
      </c>
      <c r="F1214" s="24">
        <v>40.439999</v>
      </c>
      <c r="G1214" s="81">
        <f t="shared" si="37"/>
        <v>-1.9743583415597898E-3</v>
      </c>
      <c r="L1214" s="40">
        <v>45168</v>
      </c>
      <c r="M1214" s="43">
        <v>3.8330999999999999E-3</v>
      </c>
      <c r="N1214" s="1">
        <v>-1.9743583415597898E-3</v>
      </c>
    </row>
    <row r="1215" spans="2:14">
      <c r="B1215" s="40">
        <v>45169</v>
      </c>
      <c r="C1215" s="47">
        <v>4507.66</v>
      </c>
      <c r="D1215" s="81">
        <f t="shared" si="36"/>
        <v>-1.5969452055097921E-3</v>
      </c>
      <c r="E1215" s="40">
        <v>45169</v>
      </c>
      <c r="F1215" s="24">
        <v>40.790000999999997</v>
      </c>
      <c r="G1215" s="81">
        <f t="shared" si="37"/>
        <v>8.6548469004659179E-3</v>
      </c>
      <c r="L1215" s="40">
        <v>45169</v>
      </c>
      <c r="M1215" s="43">
        <v>-1.5969000000000001E-3</v>
      </c>
      <c r="N1215" s="1">
        <v>8.6548469004659179E-3</v>
      </c>
    </row>
    <row r="1216" spans="2:14">
      <c r="B1216" s="40">
        <v>45170</v>
      </c>
      <c r="C1216" s="47">
        <v>4515.7700000000004</v>
      </c>
      <c r="D1216" s="81">
        <f t="shared" si="36"/>
        <v>1.7991596526802933E-3</v>
      </c>
      <c r="E1216" s="40">
        <v>45170</v>
      </c>
      <c r="F1216" s="24">
        <v>39.369999</v>
      </c>
      <c r="G1216" s="81">
        <f t="shared" si="37"/>
        <v>-3.4812502211019725E-2</v>
      </c>
      <c r="L1216" s="40">
        <v>45170</v>
      </c>
      <c r="M1216" s="43">
        <v>1.7991999999999999E-3</v>
      </c>
      <c r="N1216" s="1">
        <v>-3.4812502211019725E-2</v>
      </c>
    </row>
    <row r="1217" spans="2:14">
      <c r="B1217" s="40">
        <v>45174</v>
      </c>
      <c r="C1217" s="47">
        <v>4496.83</v>
      </c>
      <c r="D1217" s="81">
        <f t="shared" si="36"/>
        <v>-4.1941905810084501E-3</v>
      </c>
      <c r="E1217" s="40">
        <v>45174</v>
      </c>
      <c r="F1217" s="24">
        <v>39.369999</v>
      </c>
      <c r="G1217" s="81">
        <f t="shared" si="37"/>
        <v>0</v>
      </c>
      <c r="L1217" s="40">
        <v>45174</v>
      </c>
      <c r="M1217" s="43">
        <v>-4.1942000000000004E-3</v>
      </c>
      <c r="N1217" s="1">
        <v>0</v>
      </c>
    </row>
    <row r="1218" spans="2:14">
      <c r="B1218" s="40">
        <v>45175</v>
      </c>
      <c r="C1218" s="47">
        <v>4465.4799999999996</v>
      </c>
      <c r="D1218" s="81">
        <f t="shared" si="36"/>
        <v>-6.9715777558858605E-3</v>
      </c>
      <c r="E1218" s="40">
        <v>45175</v>
      </c>
      <c r="F1218" s="24">
        <v>38.979999999999997</v>
      </c>
      <c r="G1218" s="81">
        <f t="shared" si="37"/>
        <v>-9.9059946636016472E-3</v>
      </c>
      <c r="L1218" s="40">
        <v>45175</v>
      </c>
      <c r="M1218" s="43">
        <v>-6.9715999999999997E-3</v>
      </c>
      <c r="N1218" s="1">
        <v>-9.9059946636016472E-3</v>
      </c>
    </row>
    <row r="1219" spans="2:14">
      <c r="B1219" s="40">
        <v>45176</v>
      </c>
      <c r="C1219" s="47">
        <v>4451.1400000000003</v>
      </c>
      <c r="D1219" s="81">
        <f t="shared" si="36"/>
        <v>-3.2113009127796577E-3</v>
      </c>
      <c r="E1219" s="40">
        <v>45176</v>
      </c>
      <c r="F1219" s="24">
        <v>38.810001</v>
      </c>
      <c r="G1219" s="81">
        <f t="shared" si="37"/>
        <v>-4.3611852231912884E-3</v>
      </c>
      <c r="L1219" s="40">
        <v>45176</v>
      </c>
      <c r="M1219" s="43">
        <v>-3.2112999999999998E-3</v>
      </c>
      <c r="N1219" s="1">
        <v>-4.3611852231912884E-3</v>
      </c>
    </row>
    <row r="1220" spans="2:14">
      <c r="B1220" s="40">
        <v>45177</v>
      </c>
      <c r="C1220" s="47">
        <v>4457.49</v>
      </c>
      <c r="D1220" s="81">
        <f t="shared" si="36"/>
        <v>1.4266008258556617E-3</v>
      </c>
      <c r="E1220" s="40">
        <v>45177</v>
      </c>
      <c r="F1220" s="24">
        <v>39.830002</v>
      </c>
      <c r="G1220" s="81">
        <f t="shared" si="37"/>
        <v>2.6281911201187613E-2</v>
      </c>
      <c r="L1220" s="40">
        <v>45177</v>
      </c>
      <c r="M1220" s="43">
        <v>1.4266000000000001E-3</v>
      </c>
      <c r="N1220" s="1">
        <v>2.6281911201187613E-2</v>
      </c>
    </row>
    <row r="1221" spans="2:14">
      <c r="B1221" s="40">
        <v>45180</v>
      </c>
      <c r="C1221" s="47">
        <v>4487.46</v>
      </c>
      <c r="D1221" s="81">
        <f t="shared" si="36"/>
        <v>6.7235148031741243E-3</v>
      </c>
      <c r="E1221" s="40">
        <v>45180</v>
      </c>
      <c r="F1221" s="24">
        <v>39.82</v>
      </c>
      <c r="G1221" s="81">
        <f t="shared" si="37"/>
        <v>-2.5111723569581912E-4</v>
      </c>
      <c r="L1221" s="40">
        <v>45180</v>
      </c>
      <c r="M1221" s="43">
        <v>6.7235000000000003E-3</v>
      </c>
      <c r="N1221" s="1">
        <v>-2.5111723569581912E-4</v>
      </c>
    </row>
    <row r="1222" spans="2:14">
      <c r="B1222" s="40">
        <v>45181</v>
      </c>
      <c r="C1222" s="47">
        <v>4461.8999999999996</v>
      </c>
      <c r="D1222" s="81">
        <f t="shared" ref="D1222:D1260" si="38">C1222/C1221-1</f>
        <v>-5.6958724980279429E-3</v>
      </c>
      <c r="E1222" s="40">
        <v>45181</v>
      </c>
      <c r="F1222" s="24">
        <v>39.68</v>
      </c>
      <c r="G1222" s="81">
        <f t="shared" ref="G1222:G1260" si="39">F1222/F1221-1</f>
        <v>-3.5158211953791874E-3</v>
      </c>
      <c r="L1222" s="40">
        <v>45181</v>
      </c>
      <c r="M1222" s="43">
        <v>-5.6959000000000003E-3</v>
      </c>
      <c r="N1222" s="1">
        <v>-3.5158211953791874E-3</v>
      </c>
    </row>
    <row r="1223" spans="2:14">
      <c r="B1223" s="40">
        <v>45182</v>
      </c>
      <c r="C1223" s="47">
        <v>4467.4399999999996</v>
      </c>
      <c r="D1223" s="81">
        <f t="shared" si="38"/>
        <v>1.2416235236110129E-3</v>
      </c>
      <c r="E1223" s="40">
        <v>45182</v>
      </c>
      <c r="F1223" s="24">
        <v>39.779998999999997</v>
      </c>
      <c r="G1223" s="81">
        <f t="shared" si="39"/>
        <v>2.5201360887094904E-3</v>
      </c>
      <c r="L1223" s="40">
        <v>45182</v>
      </c>
      <c r="M1223" s="43">
        <v>1.2416E-3</v>
      </c>
      <c r="N1223" s="1">
        <v>2.5201360887094904E-3</v>
      </c>
    </row>
    <row r="1224" spans="2:14">
      <c r="B1224" s="40">
        <v>45183</v>
      </c>
      <c r="C1224" s="47">
        <v>4505.1000000000004</v>
      </c>
      <c r="D1224" s="81">
        <f t="shared" si="38"/>
        <v>8.4298837813157057E-3</v>
      </c>
      <c r="E1224" s="40">
        <v>45183</v>
      </c>
      <c r="F1224" s="24">
        <v>40.590000000000003</v>
      </c>
      <c r="G1224" s="81">
        <f t="shared" si="39"/>
        <v>2.0362016600352417E-2</v>
      </c>
      <c r="L1224" s="40">
        <v>45183</v>
      </c>
      <c r="M1224" s="43">
        <v>8.4299000000000006E-3</v>
      </c>
      <c r="N1224" s="1">
        <v>2.0362016600352417E-2</v>
      </c>
    </row>
    <row r="1225" spans="2:14">
      <c r="B1225" s="40">
        <v>45184</v>
      </c>
      <c r="C1225" s="47">
        <v>4450.32</v>
      </c>
      <c r="D1225" s="81">
        <f t="shared" si="38"/>
        <v>-1.2159552507158722E-2</v>
      </c>
      <c r="E1225" s="40">
        <v>45184</v>
      </c>
      <c r="F1225" s="24">
        <v>40.799999</v>
      </c>
      <c r="G1225" s="81">
        <f t="shared" si="39"/>
        <v>5.173663463907241E-3</v>
      </c>
      <c r="L1225" s="40">
        <v>45184</v>
      </c>
      <c r="M1225" s="43">
        <v>-1.21596E-2</v>
      </c>
      <c r="N1225" s="1">
        <v>5.173663463907241E-3</v>
      </c>
    </row>
    <row r="1226" spans="2:14">
      <c r="B1226" s="40">
        <v>45187</v>
      </c>
      <c r="C1226" s="47">
        <v>4453.53</v>
      </c>
      <c r="D1226" s="81">
        <f t="shared" si="38"/>
        <v>7.2129644609830734E-4</v>
      </c>
      <c r="E1226" s="40">
        <v>45187</v>
      </c>
      <c r="F1226" s="24">
        <v>40.729999999999997</v>
      </c>
      <c r="G1226" s="81">
        <f t="shared" si="39"/>
        <v>-1.7156618067565299E-3</v>
      </c>
      <c r="L1226" s="40">
        <v>45187</v>
      </c>
      <c r="M1226" s="43">
        <v>7.2130000000000002E-4</v>
      </c>
      <c r="N1226" s="1">
        <v>-1.7156618067565299E-3</v>
      </c>
    </row>
    <row r="1227" spans="2:14">
      <c r="B1227" s="40">
        <v>45188</v>
      </c>
      <c r="C1227" s="47">
        <v>4443.95</v>
      </c>
      <c r="D1227" s="81">
        <f t="shared" si="38"/>
        <v>-2.1511026084926055E-3</v>
      </c>
      <c r="E1227" s="40">
        <v>45188</v>
      </c>
      <c r="F1227" s="24">
        <v>40.529998999999997</v>
      </c>
      <c r="G1227" s="81">
        <f t="shared" si="39"/>
        <v>-4.9104100171863951E-3</v>
      </c>
      <c r="L1227" s="40">
        <v>45188</v>
      </c>
      <c r="M1227" s="43">
        <v>-2.1511E-3</v>
      </c>
      <c r="N1227" s="1">
        <v>-4.9104100171863951E-3</v>
      </c>
    </row>
    <row r="1228" spans="2:14">
      <c r="B1228" s="40">
        <v>45189</v>
      </c>
      <c r="C1228" s="47">
        <v>4402.2</v>
      </c>
      <c r="D1228" s="81">
        <f t="shared" si="38"/>
        <v>-9.3947951709627553E-3</v>
      </c>
      <c r="E1228" s="40">
        <v>45189</v>
      </c>
      <c r="F1228" s="24">
        <v>40.799999</v>
      </c>
      <c r="G1228" s="81">
        <f t="shared" si="39"/>
        <v>6.661732214698679E-3</v>
      </c>
      <c r="L1228" s="40">
        <v>45189</v>
      </c>
      <c r="M1228" s="43">
        <v>-9.3948E-3</v>
      </c>
      <c r="N1228" s="1">
        <v>6.661732214698679E-3</v>
      </c>
    </row>
    <row r="1229" spans="2:14">
      <c r="B1229" s="40">
        <v>45190</v>
      </c>
      <c r="C1229" s="47">
        <v>4330</v>
      </c>
      <c r="D1229" s="81">
        <f t="shared" si="38"/>
        <v>-1.6400890463858953E-2</v>
      </c>
      <c r="E1229" s="40">
        <v>45190</v>
      </c>
      <c r="F1229" s="24">
        <v>41.110000999999997</v>
      </c>
      <c r="G1229" s="81">
        <f t="shared" si="39"/>
        <v>7.5980884215216538E-3</v>
      </c>
      <c r="L1229" s="40">
        <v>45190</v>
      </c>
      <c r="M1229" s="43">
        <v>-1.64009E-2</v>
      </c>
      <c r="N1229" s="1">
        <v>7.5980884215216538E-3</v>
      </c>
    </row>
    <row r="1230" spans="2:14">
      <c r="B1230" s="40">
        <v>45191</v>
      </c>
      <c r="C1230" s="47">
        <v>4320.0600000000004</v>
      </c>
      <c r="D1230" s="81">
        <f t="shared" si="38"/>
        <v>-2.2956120092377796E-3</v>
      </c>
      <c r="E1230" s="40">
        <v>45191</v>
      </c>
      <c r="F1230" s="24">
        <v>41.380001</v>
      </c>
      <c r="G1230" s="81">
        <f t="shared" si="39"/>
        <v>6.5677449144310174E-3</v>
      </c>
      <c r="L1230" s="40">
        <v>45191</v>
      </c>
      <c r="M1230" s="43">
        <v>-2.2956000000000001E-3</v>
      </c>
      <c r="N1230" s="1">
        <v>6.5677449144310174E-3</v>
      </c>
    </row>
    <row r="1231" spans="2:14">
      <c r="B1231" s="40">
        <v>45194</v>
      </c>
      <c r="C1231" s="47">
        <v>4337.4399999999996</v>
      </c>
      <c r="D1231" s="81">
        <f t="shared" si="38"/>
        <v>4.0230922718664797E-3</v>
      </c>
      <c r="E1231" s="40">
        <v>45194</v>
      </c>
      <c r="F1231" s="24">
        <v>42.16</v>
      </c>
      <c r="G1231" s="81">
        <f t="shared" si="39"/>
        <v>1.8849661216779445E-2</v>
      </c>
      <c r="L1231" s="40">
        <v>45194</v>
      </c>
      <c r="M1231" s="43">
        <v>4.0230999999999999E-3</v>
      </c>
      <c r="N1231" s="1">
        <v>1.8849661216779445E-2</v>
      </c>
    </row>
    <row r="1232" spans="2:14">
      <c r="B1232" s="40">
        <v>45195</v>
      </c>
      <c r="C1232" s="47">
        <v>4273.53</v>
      </c>
      <c r="D1232" s="81">
        <f t="shared" si="38"/>
        <v>-1.473449776826885E-2</v>
      </c>
      <c r="E1232" s="40">
        <v>45195</v>
      </c>
      <c r="F1232" s="24">
        <v>41.490001999999997</v>
      </c>
      <c r="G1232" s="81">
        <f t="shared" si="39"/>
        <v>-1.5891793168880453E-2</v>
      </c>
      <c r="L1232" s="40">
        <v>45195</v>
      </c>
      <c r="M1232" s="43">
        <v>-1.4734499999999999E-2</v>
      </c>
      <c r="N1232" s="1">
        <v>-1.5891793168880453E-2</v>
      </c>
    </row>
    <row r="1233" spans="2:14">
      <c r="B1233" s="40">
        <v>45196</v>
      </c>
      <c r="C1233" s="47">
        <v>4274.51</v>
      </c>
      <c r="D1233" s="81">
        <f t="shared" si="38"/>
        <v>2.2931861950192811E-4</v>
      </c>
      <c r="E1233" s="40">
        <v>45196</v>
      </c>
      <c r="F1233" s="24">
        <v>42.459999000000003</v>
      </c>
      <c r="G1233" s="81">
        <f t="shared" si="39"/>
        <v>2.3379054067049765E-2</v>
      </c>
      <c r="L1233" s="40">
        <v>45196</v>
      </c>
      <c r="M1233" s="43">
        <v>2.2929999999999999E-4</v>
      </c>
      <c r="N1233" s="1">
        <v>2.3379054067049765E-2</v>
      </c>
    </row>
    <row r="1234" spans="2:14">
      <c r="B1234" s="40">
        <v>45197</v>
      </c>
      <c r="C1234" s="47">
        <v>4299.7</v>
      </c>
      <c r="D1234" s="81">
        <f t="shared" si="38"/>
        <v>5.8930731241708667E-3</v>
      </c>
      <c r="E1234" s="40">
        <v>45197</v>
      </c>
      <c r="F1234" s="24">
        <v>42.810001</v>
      </c>
      <c r="G1234" s="81">
        <f t="shared" si="39"/>
        <v>8.2430995817968089E-3</v>
      </c>
      <c r="L1234" s="40">
        <v>45197</v>
      </c>
      <c r="M1234" s="43">
        <v>5.8931000000000001E-3</v>
      </c>
      <c r="N1234" s="1">
        <v>8.2430995817968089E-3</v>
      </c>
    </row>
    <row r="1235" spans="2:14">
      <c r="B1235" s="40">
        <v>45198</v>
      </c>
      <c r="C1235" s="47">
        <v>4288.05</v>
      </c>
      <c r="D1235" s="81">
        <f t="shared" si="38"/>
        <v>-2.7094913598622039E-3</v>
      </c>
      <c r="E1235" s="40">
        <v>45198</v>
      </c>
      <c r="F1235" s="24">
        <v>42.799999</v>
      </c>
      <c r="G1235" s="81">
        <f t="shared" si="39"/>
        <v>-2.3363699524325821E-4</v>
      </c>
      <c r="L1235" s="40">
        <v>45198</v>
      </c>
      <c r="M1235" s="43">
        <v>-2.7095000000000001E-3</v>
      </c>
      <c r="N1235" s="1">
        <v>-2.3363699524325821E-4</v>
      </c>
    </row>
    <row r="1236" spans="2:14">
      <c r="B1236" s="40">
        <v>45201</v>
      </c>
      <c r="C1236" s="47">
        <v>4288.3900000000003</v>
      </c>
      <c r="D1236" s="81">
        <f t="shared" si="38"/>
        <v>7.9290120217789806E-5</v>
      </c>
      <c r="E1236" s="40">
        <v>45201</v>
      </c>
      <c r="F1236" s="24">
        <v>42</v>
      </c>
      <c r="G1236" s="81">
        <f t="shared" si="39"/>
        <v>-1.8691565857279602E-2</v>
      </c>
      <c r="L1236" s="40">
        <v>45201</v>
      </c>
      <c r="M1236" s="43">
        <v>7.9289999999999995E-5</v>
      </c>
      <c r="N1236" s="1">
        <v>-1.8691565857279602E-2</v>
      </c>
    </row>
    <row r="1237" spans="2:14">
      <c r="B1237" s="40">
        <v>45202</v>
      </c>
      <c r="C1237" s="47">
        <v>4229.45</v>
      </c>
      <c r="D1237" s="81">
        <f t="shared" si="38"/>
        <v>-1.374408577578079E-2</v>
      </c>
      <c r="E1237" s="40">
        <v>45202</v>
      </c>
      <c r="F1237" s="24">
        <v>41.490001999999997</v>
      </c>
      <c r="G1237" s="81">
        <f t="shared" si="39"/>
        <v>-1.2142809523809639E-2</v>
      </c>
      <c r="L1237" s="40">
        <v>45202</v>
      </c>
      <c r="M1237" s="43">
        <v>-1.37441E-2</v>
      </c>
      <c r="N1237" s="1">
        <v>-1.2142809523809639E-2</v>
      </c>
    </row>
    <row r="1238" spans="2:14">
      <c r="B1238" s="40">
        <v>45203</v>
      </c>
      <c r="C1238" s="47">
        <v>4263.75</v>
      </c>
      <c r="D1238" s="81">
        <f t="shared" si="38"/>
        <v>8.1098015108347354E-3</v>
      </c>
      <c r="E1238" s="40">
        <v>45203</v>
      </c>
      <c r="F1238" s="24">
        <v>42.68</v>
      </c>
      <c r="G1238" s="81">
        <f t="shared" si="39"/>
        <v>2.8681560439548948E-2</v>
      </c>
      <c r="L1238" s="40">
        <v>45203</v>
      </c>
      <c r="M1238" s="43">
        <v>8.1098000000000003E-3</v>
      </c>
      <c r="N1238" s="1">
        <v>2.8681560439548948E-2</v>
      </c>
    </row>
    <row r="1239" spans="2:14">
      <c r="B1239" s="40">
        <v>45204</v>
      </c>
      <c r="C1239" s="47">
        <v>4258.1899999999996</v>
      </c>
      <c r="D1239" s="81">
        <f t="shared" si="38"/>
        <v>-1.3040164174730196E-3</v>
      </c>
      <c r="E1239" s="40">
        <v>45204</v>
      </c>
      <c r="F1239" s="24">
        <v>42.34</v>
      </c>
      <c r="G1239" s="81">
        <f t="shared" si="39"/>
        <v>-7.9662605435800726E-3</v>
      </c>
      <c r="L1239" s="40">
        <v>45204</v>
      </c>
      <c r="M1239" s="43">
        <v>-1.304E-3</v>
      </c>
      <c r="N1239" s="1">
        <v>-7.9662605435800726E-3</v>
      </c>
    </row>
    <row r="1240" spans="2:14">
      <c r="B1240" s="40">
        <v>45205</v>
      </c>
      <c r="C1240" s="47">
        <v>4308.5</v>
      </c>
      <c r="D1240" s="81">
        <f t="shared" si="38"/>
        <v>1.1814879091820885E-2</v>
      </c>
      <c r="E1240" s="40">
        <v>45205</v>
      </c>
      <c r="F1240" s="24">
        <v>42.389999000000003</v>
      </c>
      <c r="G1240" s="81">
        <f t="shared" si="39"/>
        <v>1.1808927727916529E-3</v>
      </c>
      <c r="L1240" s="40">
        <v>45205</v>
      </c>
      <c r="M1240" s="43">
        <v>1.18149E-2</v>
      </c>
      <c r="N1240" s="1">
        <v>1.1808927727916529E-3</v>
      </c>
    </row>
    <row r="1241" spans="2:14">
      <c r="B1241" s="40">
        <v>45208</v>
      </c>
      <c r="C1241" s="47">
        <v>4335.66</v>
      </c>
      <c r="D1241" s="81">
        <f t="shared" si="38"/>
        <v>6.3038180341186134E-3</v>
      </c>
      <c r="E1241" s="40">
        <v>45208</v>
      </c>
      <c r="F1241" s="24">
        <v>42.490001999999997</v>
      </c>
      <c r="G1241" s="81">
        <f t="shared" si="39"/>
        <v>2.3591177720951872E-3</v>
      </c>
      <c r="L1241" s="40">
        <v>45208</v>
      </c>
      <c r="M1241" s="43">
        <v>6.3038E-3</v>
      </c>
      <c r="N1241" s="1">
        <v>2.3591177720951872E-3</v>
      </c>
    </row>
    <row r="1242" spans="2:14">
      <c r="B1242" s="40">
        <v>45209</v>
      </c>
      <c r="C1242" s="47">
        <v>4358.24</v>
      </c>
      <c r="D1242" s="81">
        <f t="shared" si="38"/>
        <v>5.2079729499083793E-3</v>
      </c>
      <c r="E1242" s="40">
        <v>45209</v>
      </c>
      <c r="F1242" s="24">
        <v>43.900002000000001</v>
      </c>
      <c r="G1242" s="81">
        <f t="shared" si="39"/>
        <v>3.318427709182048E-2</v>
      </c>
      <c r="L1242" s="40">
        <v>45209</v>
      </c>
      <c r="M1242" s="43">
        <v>5.208E-3</v>
      </c>
      <c r="N1242" s="1">
        <v>3.318427709182048E-2</v>
      </c>
    </row>
    <row r="1243" spans="2:14">
      <c r="B1243" s="40">
        <v>45210</v>
      </c>
      <c r="C1243" s="47">
        <v>4376.95</v>
      </c>
      <c r="D1243" s="81">
        <f t="shared" si="38"/>
        <v>4.2930173648079162E-3</v>
      </c>
      <c r="E1243" s="40">
        <v>45210</v>
      </c>
      <c r="F1243" s="24">
        <v>43.490001999999997</v>
      </c>
      <c r="G1243" s="81">
        <f t="shared" si="39"/>
        <v>-9.3394073193893146E-3</v>
      </c>
      <c r="L1243" s="40">
        <v>45210</v>
      </c>
      <c r="M1243" s="43">
        <v>4.2929999999999999E-3</v>
      </c>
      <c r="N1243" s="1">
        <v>-9.3394073193893146E-3</v>
      </c>
    </row>
    <row r="1244" spans="2:14">
      <c r="B1244" s="40">
        <v>45211</v>
      </c>
      <c r="C1244" s="47">
        <v>4349.6099999999997</v>
      </c>
      <c r="D1244" s="81">
        <f t="shared" si="38"/>
        <v>-6.2463587658072584E-3</v>
      </c>
      <c r="E1244" s="40">
        <v>45211</v>
      </c>
      <c r="F1244" s="24">
        <v>43.59</v>
      </c>
      <c r="G1244" s="81">
        <f t="shared" si="39"/>
        <v>2.2993330743008578E-3</v>
      </c>
      <c r="L1244" s="40">
        <v>45211</v>
      </c>
      <c r="M1244" s="43">
        <v>-6.2464E-3</v>
      </c>
      <c r="N1244" s="1">
        <v>2.2993330743008578E-3</v>
      </c>
    </row>
    <row r="1245" spans="2:14">
      <c r="B1245" s="40">
        <v>45212</v>
      </c>
      <c r="C1245" s="47">
        <v>4327.78</v>
      </c>
      <c r="D1245" s="81">
        <f t="shared" si="38"/>
        <v>-5.0188407696322157E-3</v>
      </c>
      <c r="E1245" s="40">
        <v>45212</v>
      </c>
      <c r="F1245" s="24">
        <v>43.209999000000003</v>
      </c>
      <c r="G1245" s="81">
        <f t="shared" si="39"/>
        <v>-8.7176187198898525E-3</v>
      </c>
      <c r="L1245" s="40">
        <v>45212</v>
      </c>
      <c r="M1245" s="43">
        <v>-5.0188000000000003E-3</v>
      </c>
      <c r="N1245" s="1">
        <v>-8.7176187198898525E-3</v>
      </c>
    </row>
    <row r="1246" spans="2:14">
      <c r="B1246" s="40">
        <v>45215</v>
      </c>
      <c r="C1246" s="47">
        <v>4373.63</v>
      </c>
      <c r="D1246" s="81">
        <f t="shared" si="38"/>
        <v>1.0594346293018697E-2</v>
      </c>
      <c r="E1246" s="40">
        <v>45215</v>
      </c>
      <c r="F1246" s="24">
        <v>42</v>
      </c>
      <c r="G1246" s="81">
        <f t="shared" si="39"/>
        <v>-2.8002754640193417E-2</v>
      </c>
      <c r="L1246" s="40">
        <v>45215</v>
      </c>
      <c r="M1246" s="43">
        <v>1.0594299999999999E-2</v>
      </c>
      <c r="N1246" s="1">
        <v>-2.8002754640193417E-2</v>
      </c>
    </row>
    <row r="1247" spans="2:14">
      <c r="B1247" s="40">
        <v>45216</v>
      </c>
      <c r="C1247" s="47">
        <v>4373.2</v>
      </c>
      <c r="D1247" s="81">
        <f t="shared" si="38"/>
        <v>-9.831650139591197E-5</v>
      </c>
      <c r="E1247" s="40">
        <v>45216</v>
      </c>
      <c r="F1247" s="24">
        <v>43.16</v>
      </c>
      <c r="G1247" s="81">
        <f t="shared" si="39"/>
        <v>2.7619047619047432E-2</v>
      </c>
      <c r="L1247" s="40">
        <v>45216</v>
      </c>
      <c r="M1247" s="43">
        <v>-9.8319999999999994E-5</v>
      </c>
      <c r="N1247" s="1">
        <v>2.7619047619047432E-2</v>
      </c>
    </row>
    <row r="1248" spans="2:14">
      <c r="B1248" s="40">
        <v>45217</v>
      </c>
      <c r="C1248" s="47">
        <v>4314.6000000000004</v>
      </c>
      <c r="D1248" s="81">
        <f t="shared" si="38"/>
        <v>-1.3399798774352711E-2</v>
      </c>
      <c r="E1248" s="40">
        <v>45217</v>
      </c>
      <c r="F1248" s="24">
        <v>42.970001000000003</v>
      </c>
      <c r="G1248" s="81">
        <f t="shared" si="39"/>
        <v>-4.4022011121407356E-3</v>
      </c>
      <c r="L1248" s="40">
        <v>45217</v>
      </c>
      <c r="M1248" s="43">
        <v>-1.33998E-2</v>
      </c>
      <c r="N1248" s="1">
        <v>-4.4022011121407356E-3</v>
      </c>
    </row>
    <row r="1249" spans="2:14">
      <c r="B1249" s="40">
        <v>45218</v>
      </c>
      <c r="C1249" s="47">
        <v>4278</v>
      </c>
      <c r="D1249" s="81">
        <f t="shared" si="38"/>
        <v>-8.4828257544152796E-3</v>
      </c>
      <c r="E1249" s="40">
        <v>45218</v>
      </c>
      <c r="F1249" s="24">
        <v>42.279998999999997</v>
      </c>
      <c r="G1249" s="81">
        <f t="shared" si="39"/>
        <v>-1.6057760855067382E-2</v>
      </c>
      <c r="L1249" s="40">
        <v>45218</v>
      </c>
      <c r="M1249" s="43">
        <v>-8.4828000000000004E-3</v>
      </c>
      <c r="N1249" s="1">
        <v>-1.6057760855067382E-2</v>
      </c>
    </row>
    <row r="1250" spans="2:14">
      <c r="B1250" s="40">
        <v>45219</v>
      </c>
      <c r="C1250" s="47">
        <v>4224.16</v>
      </c>
      <c r="D1250" s="81">
        <f t="shared" si="38"/>
        <v>-1.2585320243104325E-2</v>
      </c>
      <c r="E1250" s="40">
        <v>45219</v>
      </c>
      <c r="F1250" s="24">
        <v>42.389999000000003</v>
      </c>
      <c r="G1250" s="81">
        <f t="shared" si="39"/>
        <v>2.6017029943639081E-3</v>
      </c>
      <c r="L1250" s="40">
        <v>45219</v>
      </c>
      <c r="M1250" s="43">
        <v>-1.2585300000000001E-2</v>
      </c>
      <c r="N1250" s="1">
        <v>2.6017029943639081E-3</v>
      </c>
    </row>
    <row r="1251" spans="2:14">
      <c r="B1251" s="40">
        <v>45222</v>
      </c>
      <c r="C1251" s="47">
        <v>4217.04</v>
      </c>
      <c r="D1251" s="81">
        <f t="shared" si="38"/>
        <v>-1.685542214310054E-3</v>
      </c>
      <c r="E1251" s="40">
        <v>45222</v>
      </c>
      <c r="F1251" s="24">
        <v>42.560001</v>
      </c>
      <c r="G1251" s="81">
        <f t="shared" si="39"/>
        <v>4.0104270821048615E-3</v>
      </c>
      <c r="L1251" s="40">
        <v>45222</v>
      </c>
      <c r="M1251" s="43">
        <v>-1.6854999999999999E-3</v>
      </c>
      <c r="N1251" s="1">
        <v>4.0104270821048615E-3</v>
      </c>
    </row>
    <row r="1252" spans="2:14">
      <c r="B1252" s="40">
        <v>45223</v>
      </c>
      <c r="C1252" s="47">
        <v>4247.68</v>
      </c>
      <c r="D1252" s="81">
        <f t="shared" si="38"/>
        <v>7.2657598694820802E-3</v>
      </c>
      <c r="E1252" s="40">
        <v>45223</v>
      </c>
      <c r="F1252" s="24">
        <v>43.759998000000003</v>
      </c>
      <c r="G1252" s="81">
        <f t="shared" si="39"/>
        <v>2.8195417570596515E-2</v>
      </c>
      <c r="L1252" s="40">
        <v>45223</v>
      </c>
      <c r="M1252" s="43">
        <v>7.2658000000000002E-3</v>
      </c>
      <c r="N1252" s="1">
        <v>2.8195417570596515E-2</v>
      </c>
    </row>
    <row r="1253" spans="2:14">
      <c r="B1253" s="40">
        <v>45224</v>
      </c>
      <c r="C1253" s="47">
        <v>4186.7700000000004</v>
      </c>
      <c r="D1253" s="81">
        <f t="shared" si="38"/>
        <v>-1.4339592436341642E-2</v>
      </c>
      <c r="E1253" s="40">
        <v>45224</v>
      </c>
      <c r="F1253" s="24">
        <v>43.970001000000003</v>
      </c>
      <c r="G1253" s="81">
        <f t="shared" si="39"/>
        <v>4.7989718829510863E-3</v>
      </c>
      <c r="L1253" s="40">
        <v>45224</v>
      </c>
      <c r="M1253" s="43">
        <v>-1.4339599999999999E-2</v>
      </c>
      <c r="N1253" s="1">
        <v>4.7989718829510863E-3</v>
      </c>
    </row>
    <row r="1254" spans="2:14">
      <c r="B1254" s="40">
        <v>45225</v>
      </c>
      <c r="C1254" s="47">
        <v>4137.2299999999996</v>
      </c>
      <c r="D1254" s="81">
        <f t="shared" si="38"/>
        <v>-1.183251050332379E-2</v>
      </c>
      <c r="E1254" s="40">
        <v>45225</v>
      </c>
      <c r="F1254" s="24">
        <v>43.66</v>
      </c>
      <c r="G1254" s="81">
        <f t="shared" si="39"/>
        <v>-7.0502841243966774E-3</v>
      </c>
      <c r="L1254" s="40">
        <v>45225</v>
      </c>
      <c r="M1254" s="43">
        <v>-1.1832499999999999E-2</v>
      </c>
      <c r="N1254" s="1">
        <v>-7.0502841243966774E-3</v>
      </c>
    </row>
    <row r="1255" spans="2:14">
      <c r="B1255" s="40">
        <v>45226</v>
      </c>
      <c r="C1255" s="47">
        <v>4117.37</v>
      </c>
      <c r="D1255" s="81">
        <f t="shared" si="38"/>
        <v>-4.8003132530701764E-3</v>
      </c>
      <c r="E1255" s="40">
        <v>45226</v>
      </c>
      <c r="F1255" s="24">
        <v>43.459999000000003</v>
      </c>
      <c r="G1255" s="81">
        <f t="shared" si="39"/>
        <v>-4.5808749427391771E-3</v>
      </c>
      <c r="L1255" s="40">
        <v>45226</v>
      </c>
      <c r="M1255" s="43">
        <v>-4.8003000000000004E-3</v>
      </c>
      <c r="N1255" s="1">
        <v>-4.5808749427391771E-3</v>
      </c>
    </row>
    <row r="1256" spans="2:14">
      <c r="B1256" s="40">
        <v>45229</v>
      </c>
      <c r="C1256" s="47">
        <v>4166.82</v>
      </c>
      <c r="D1256" s="81">
        <f t="shared" si="38"/>
        <v>1.2010093822027113E-2</v>
      </c>
      <c r="E1256" s="40">
        <v>45229</v>
      </c>
      <c r="F1256" s="24">
        <v>43.349997999999999</v>
      </c>
      <c r="G1256" s="81">
        <f t="shared" si="39"/>
        <v>-2.5310861143831298E-3</v>
      </c>
      <c r="L1256" s="40">
        <v>45229</v>
      </c>
      <c r="M1256" s="43">
        <v>1.2010099999999999E-2</v>
      </c>
      <c r="N1256" s="1">
        <v>-2.5310861143831298E-3</v>
      </c>
    </row>
    <row r="1257" spans="2:14">
      <c r="B1257" s="40">
        <v>45230</v>
      </c>
      <c r="C1257" s="47">
        <v>4193.8</v>
      </c>
      <c r="D1257" s="81">
        <f t="shared" si="38"/>
        <v>6.4749617214088229E-3</v>
      </c>
      <c r="E1257" s="40">
        <v>45230</v>
      </c>
      <c r="F1257" s="24">
        <v>42.02</v>
      </c>
      <c r="G1257" s="81">
        <f t="shared" si="39"/>
        <v>-3.0680462776491835E-2</v>
      </c>
      <c r="L1257" s="40">
        <v>45230</v>
      </c>
      <c r="M1257" s="43">
        <v>6.4749999999999999E-3</v>
      </c>
      <c r="N1257" s="1">
        <v>-3.0680462776491835E-2</v>
      </c>
    </row>
    <row r="1258" spans="2:14">
      <c r="B1258" s="40">
        <v>45231</v>
      </c>
      <c r="C1258" s="47">
        <v>4237.8599999999997</v>
      </c>
      <c r="D1258" s="81">
        <f t="shared" si="38"/>
        <v>1.0505985025513809E-2</v>
      </c>
      <c r="E1258" s="40">
        <v>45231</v>
      </c>
      <c r="F1258" s="24">
        <v>40.57</v>
      </c>
      <c r="G1258" s="81">
        <f t="shared" si="39"/>
        <v>-3.4507377439314646E-2</v>
      </c>
      <c r="L1258" s="40">
        <v>45231</v>
      </c>
      <c r="M1258" s="43">
        <v>1.0506E-2</v>
      </c>
      <c r="N1258" s="1">
        <v>-3.4507377439314646E-2</v>
      </c>
    </row>
    <row r="1259" spans="2:14">
      <c r="B1259" s="40">
        <v>45232</v>
      </c>
      <c r="C1259" s="47">
        <v>4317.78</v>
      </c>
      <c r="D1259" s="81">
        <f t="shared" si="38"/>
        <v>1.8858574846738696E-2</v>
      </c>
      <c r="E1259" s="40">
        <v>45232</v>
      </c>
      <c r="F1259" s="24">
        <v>41.18</v>
      </c>
      <c r="G1259" s="81">
        <f t="shared" si="39"/>
        <v>1.5035740695094946E-2</v>
      </c>
      <c r="L1259" s="40">
        <v>45232</v>
      </c>
      <c r="M1259" s="43">
        <v>1.88586E-2</v>
      </c>
      <c r="N1259" s="1">
        <v>1.5035740695094946E-2</v>
      </c>
    </row>
    <row r="1260" spans="2:14">
      <c r="B1260" s="40">
        <v>45233</v>
      </c>
      <c r="C1260" s="47">
        <v>4358.34</v>
      </c>
      <c r="D1260" s="81">
        <f t="shared" si="38"/>
        <v>9.3937162152772924E-3</v>
      </c>
      <c r="E1260" s="40">
        <v>45233</v>
      </c>
      <c r="F1260" s="24">
        <v>41.639999000000003</v>
      </c>
      <c r="G1260" s="81">
        <f t="shared" si="39"/>
        <v>1.1170446818844271E-2</v>
      </c>
      <c r="L1260" s="40">
        <v>45233</v>
      </c>
      <c r="M1260" s="43">
        <v>9.3936999999999996E-3</v>
      </c>
      <c r="N1260" s="1">
        <v>1.1170446818844271E-2</v>
      </c>
    </row>
    <row r="1261" spans="2:14">
      <c r="E1261" s="40">
        <v>45234</v>
      </c>
    </row>
    <row r="1262" spans="2:14">
      <c r="E1262" s="40">
        <v>45235</v>
      </c>
    </row>
    <row r="1263" spans="2:14">
      <c r="E1263" s="40">
        <v>45236</v>
      </c>
    </row>
    <row r="1264" spans="2:14">
      <c r="E1264" s="40">
        <v>45237</v>
      </c>
    </row>
    <row r="1265" spans="5:5">
      <c r="E1265" s="40">
        <v>45238</v>
      </c>
    </row>
    <row r="1266" spans="5:5">
      <c r="E1266" s="40">
        <v>45239</v>
      </c>
    </row>
    <row r="1267" spans="5:5">
      <c r="E1267" s="40">
        <v>45240</v>
      </c>
    </row>
    <row r="1268" spans="5:5">
      <c r="E1268" s="40">
        <v>45241</v>
      </c>
    </row>
    <row r="1269" spans="5:5">
      <c r="E1269" s="40">
        <v>45242</v>
      </c>
    </row>
    <row r="1270" spans="5:5">
      <c r="E1270" s="40">
        <v>45243</v>
      </c>
    </row>
    <row r="1271" spans="5:5">
      <c r="E1271" s="40">
        <v>45244</v>
      </c>
    </row>
    <row r="1272" spans="5:5">
      <c r="E1272" s="40">
        <v>45245</v>
      </c>
    </row>
    <row r="1273" spans="5:5">
      <c r="E1273" s="40">
        <v>45246</v>
      </c>
    </row>
    <row r="1274" spans="5:5">
      <c r="E1274" s="40">
        <v>45247</v>
      </c>
    </row>
    <row r="1275" spans="5:5">
      <c r="E1275" s="40">
        <v>45248</v>
      </c>
    </row>
    <row r="1276" spans="5:5">
      <c r="E1276" s="40">
        <v>45249</v>
      </c>
    </row>
    <row r="1277" spans="5:5">
      <c r="E1277" s="40">
        <v>45250</v>
      </c>
    </row>
    <row r="1278" spans="5:5">
      <c r="E1278" s="40">
        <v>45251</v>
      </c>
    </row>
    <row r="1279" spans="5:5">
      <c r="E1279" s="40">
        <v>45252</v>
      </c>
    </row>
    <row r="1280" spans="5:5">
      <c r="E1280" s="40">
        <v>45253</v>
      </c>
    </row>
    <row r="1281" spans="5:5">
      <c r="E1281" s="40">
        <v>45254</v>
      </c>
    </row>
    <row r="1282" spans="5:5">
      <c r="E1282" s="40">
        <v>45255</v>
      </c>
    </row>
    <row r="1283" spans="5:5">
      <c r="E1283" s="40">
        <v>45256</v>
      </c>
    </row>
    <row r="1284" spans="5:5">
      <c r="E1284" s="40">
        <v>45257</v>
      </c>
    </row>
    <row r="1285" spans="5:5">
      <c r="E1285" s="40">
        <v>45258</v>
      </c>
    </row>
    <row r="1286" spans="5:5">
      <c r="E1286" s="40">
        <v>45259</v>
      </c>
    </row>
    <row r="1287" spans="5:5">
      <c r="E1287" s="40">
        <v>45260</v>
      </c>
    </row>
    <row r="1288" spans="5:5">
      <c r="E1288" s="40">
        <v>45261</v>
      </c>
    </row>
    <row r="1289" spans="5:5">
      <c r="E1289" s="40">
        <v>45262</v>
      </c>
    </row>
    <row r="1290" spans="5:5">
      <c r="E1290" s="40">
        <v>45263</v>
      </c>
    </row>
    <row r="1291" spans="5:5">
      <c r="E1291" s="40">
        <v>45264</v>
      </c>
    </row>
    <row r="1292" spans="5:5">
      <c r="E1292" s="40">
        <v>45265</v>
      </c>
    </row>
    <row r="1293" spans="5:5">
      <c r="E1293" s="40">
        <v>45266</v>
      </c>
    </row>
    <row r="1294" spans="5:5">
      <c r="E1294" s="40">
        <v>45267</v>
      </c>
    </row>
    <row r="1295" spans="5:5">
      <c r="E1295" s="40">
        <v>45268</v>
      </c>
    </row>
    <row r="1296" spans="5:5">
      <c r="E1296" s="40">
        <v>45269</v>
      </c>
    </row>
    <row r="1297" spans="5:5">
      <c r="E1297" s="40">
        <v>45270</v>
      </c>
    </row>
    <row r="1298" spans="5:5">
      <c r="E1298" s="40">
        <v>45271</v>
      </c>
    </row>
    <row r="1299" spans="5:5">
      <c r="E1299" s="40">
        <v>45272</v>
      </c>
    </row>
    <row r="1300" spans="5:5">
      <c r="E1300" s="40">
        <v>45273</v>
      </c>
    </row>
    <row r="1301" spans="5:5">
      <c r="E1301" s="40">
        <v>45274</v>
      </c>
    </row>
    <row r="1302" spans="5:5">
      <c r="E1302" s="40">
        <v>45275</v>
      </c>
    </row>
    <row r="1303" spans="5:5">
      <c r="E1303" s="40">
        <v>45276</v>
      </c>
    </row>
    <row r="1304" spans="5:5">
      <c r="E1304" s="40">
        <v>45277</v>
      </c>
    </row>
    <row r="1305" spans="5:5">
      <c r="E1305" s="40">
        <v>45278</v>
      </c>
    </row>
    <row r="1306" spans="5:5">
      <c r="E1306" s="40">
        <v>45279</v>
      </c>
    </row>
    <row r="1307" spans="5:5">
      <c r="E1307" s="40">
        <v>45280</v>
      </c>
    </row>
    <row r="1308" spans="5:5">
      <c r="E1308" s="40">
        <v>45281</v>
      </c>
    </row>
    <row r="1309" spans="5:5">
      <c r="E1309" s="40">
        <v>45282</v>
      </c>
    </row>
    <row r="1310" spans="5:5">
      <c r="E1310" s="40">
        <v>45283</v>
      </c>
    </row>
    <row r="1311" spans="5:5">
      <c r="E1311" s="40">
        <v>45284</v>
      </c>
    </row>
    <row r="1312" spans="5:5">
      <c r="E1312" s="40">
        <v>45285</v>
      </c>
    </row>
    <row r="1313" spans="5:5">
      <c r="E1313" s="40">
        <v>45286</v>
      </c>
    </row>
    <row r="1314" spans="5:5">
      <c r="E1314" s="40">
        <v>45287</v>
      </c>
    </row>
    <row r="1315" spans="5:5">
      <c r="E1315" s="40">
        <v>45288</v>
      </c>
    </row>
    <row r="1316" spans="5:5">
      <c r="E1316" s="40">
        <v>45289</v>
      </c>
    </row>
    <row r="1317" spans="5:5">
      <c r="E1317" s="40">
        <v>45290</v>
      </c>
    </row>
    <row r="1318" spans="5:5">
      <c r="E1318" s="40">
        <v>45291</v>
      </c>
    </row>
    <row r="1319" spans="5:5">
      <c r="E1319" s="40">
        <v>45292</v>
      </c>
    </row>
    <row r="1320" spans="5:5">
      <c r="E1320" s="40">
        <v>45293</v>
      </c>
    </row>
    <row r="1321" spans="5:5">
      <c r="E1321" s="40">
        <v>45294</v>
      </c>
    </row>
    <row r="1322" spans="5:5">
      <c r="E1322" s="40">
        <v>45295</v>
      </c>
    </row>
    <row r="1323" spans="5:5">
      <c r="E1323" s="40">
        <v>45296</v>
      </c>
    </row>
    <row r="1324" spans="5:5">
      <c r="E1324" s="40">
        <v>45297</v>
      </c>
    </row>
    <row r="1325" spans="5:5">
      <c r="E1325" s="40">
        <v>45298</v>
      </c>
    </row>
    <row r="1326" spans="5:5">
      <c r="E1326" s="40">
        <v>45299</v>
      </c>
    </row>
    <row r="1327" spans="5:5">
      <c r="E1327" s="40">
        <v>45300</v>
      </c>
    </row>
    <row r="1328" spans="5:5">
      <c r="E1328" s="40">
        <v>45301</v>
      </c>
    </row>
    <row r="1329" spans="5:5">
      <c r="E1329" s="40">
        <v>45302</v>
      </c>
    </row>
    <row r="1330" spans="5:5">
      <c r="E1330" s="40">
        <v>45303</v>
      </c>
    </row>
    <row r="1331" spans="5:5">
      <c r="E1331" s="40">
        <v>45304</v>
      </c>
    </row>
    <row r="1332" spans="5:5">
      <c r="E1332" s="40">
        <v>45305</v>
      </c>
    </row>
    <row r="1333" spans="5:5">
      <c r="E1333" s="40">
        <v>45306</v>
      </c>
    </row>
    <row r="1334" spans="5:5">
      <c r="E1334" s="40">
        <v>45307</v>
      </c>
    </row>
    <row r="1335" spans="5:5">
      <c r="E1335" s="40">
        <v>45308</v>
      </c>
    </row>
    <row r="1336" spans="5:5">
      <c r="E1336" s="40">
        <v>45309</v>
      </c>
    </row>
    <row r="1337" spans="5:5">
      <c r="E1337" s="40">
        <v>45310</v>
      </c>
    </row>
    <row r="1338" spans="5:5">
      <c r="E1338" s="40">
        <v>45311</v>
      </c>
    </row>
    <row r="1339" spans="5:5">
      <c r="E1339" s="40">
        <v>45312</v>
      </c>
    </row>
    <row r="1340" spans="5:5">
      <c r="E1340" s="40">
        <v>45313</v>
      </c>
    </row>
    <row r="1341" spans="5:5">
      <c r="E1341" s="40">
        <v>45314</v>
      </c>
    </row>
    <row r="1342" spans="5:5">
      <c r="E1342" s="40">
        <v>45315</v>
      </c>
    </row>
    <row r="1343" spans="5:5">
      <c r="E1343" s="40">
        <v>45316</v>
      </c>
    </row>
    <row r="1344" spans="5:5">
      <c r="E1344" s="40">
        <v>45317</v>
      </c>
    </row>
    <row r="1345" spans="5:5">
      <c r="E1345" s="40">
        <v>45318</v>
      </c>
    </row>
    <row r="1346" spans="5:5">
      <c r="E1346" s="40">
        <v>45319</v>
      </c>
    </row>
    <row r="1347" spans="5:5">
      <c r="E1347" s="40">
        <v>45320</v>
      </c>
    </row>
    <row r="1348" spans="5:5">
      <c r="E1348" s="40">
        <v>45321</v>
      </c>
    </row>
    <row r="1349" spans="5:5">
      <c r="E1349" s="40">
        <v>45322</v>
      </c>
    </row>
    <row r="1350" spans="5:5">
      <c r="E1350" s="40">
        <v>45323</v>
      </c>
    </row>
    <row r="1351" spans="5:5">
      <c r="E1351" s="40">
        <v>45324</v>
      </c>
    </row>
    <row r="1352" spans="5:5">
      <c r="E1352" s="40">
        <v>45325</v>
      </c>
    </row>
    <row r="1353" spans="5:5">
      <c r="E1353" s="40">
        <v>45326</v>
      </c>
    </row>
    <row r="1354" spans="5:5">
      <c r="E1354" s="40">
        <v>45327</v>
      </c>
    </row>
    <row r="1355" spans="5:5">
      <c r="E1355" s="40">
        <v>45328</v>
      </c>
    </row>
    <row r="1356" spans="5:5">
      <c r="E1356" s="40">
        <v>45329</v>
      </c>
    </row>
    <row r="1357" spans="5:5">
      <c r="E1357" s="40">
        <v>45330</v>
      </c>
    </row>
    <row r="1358" spans="5:5">
      <c r="E1358" s="40">
        <v>45331</v>
      </c>
    </row>
    <row r="1359" spans="5:5">
      <c r="E1359" s="40">
        <v>45332</v>
      </c>
    </row>
    <row r="1360" spans="5:5">
      <c r="E1360" s="40">
        <v>45333</v>
      </c>
    </row>
    <row r="1361" spans="5:5">
      <c r="E1361" s="40">
        <v>45334</v>
      </c>
    </row>
    <row r="1362" spans="5:5">
      <c r="E1362" s="40">
        <v>45335</v>
      </c>
    </row>
    <row r="1363" spans="5:5">
      <c r="E1363" s="40">
        <v>45336</v>
      </c>
    </row>
    <row r="1364" spans="5:5">
      <c r="E1364" s="40">
        <v>45337</v>
      </c>
    </row>
    <row r="1365" spans="5:5">
      <c r="E1365" s="40">
        <v>45338</v>
      </c>
    </row>
    <row r="1366" spans="5:5">
      <c r="E1366" s="40">
        <v>45339</v>
      </c>
    </row>
    <row r="1367" spans="5:5">
      <c r="E1367" s="40">
        <v>45340</v>
      </c>
    </row>
    <row r="1368" spans="5:5">
      <c r="E1368" s="40">
        <v>45341</v>
      </c>
    </row>
    <row r="1369" spans="5:5">
      <c r="E1369" s="40">
        <v>45342</v>
      </c>
    </row>
    <row r="1370" spans="5:5">
      <c r="E1370" s="40">
        <v>45343</v>
      </c>
    </row>
    <row r="1371" spans="5:5">
      <c r="E1371" s="40">
        <v>45344</v>
      </c>
    </row>
    <row r="1372" spans="5:5">
      <c r="E1372" s="40">
        <v>45345</v>
      </c>
    </row>
    <row r="1373" spans="5:5">
      <c r="E1373" s="40">
        <v>45346</v>
      </c>
    </row>
    <row r="1374" spans="5:5">
      <c r="E1374" s="40">
        <v>45347</v>
      </c>
    </row>
    <row r="1375" spans="5:5">
      <c r="E1375" s="40">
        <v>45348</v>
      </c>
    </row>
    <row r="1376" spans="5:5">
      <c r="E1376" s="40">
        <v>45349</v>
      </c>
    </row>
    <row r="1377" spans="5:5">
      <c r="E1377" s="40">
        <v>45350</v>
      </c>
    </row>
    <row r="1378" spans="5:5">
      <c r="E1378" s="40">
        <v>45351</v>
      </c>
    </row>
    <row r="1379" spans="5:5">
      <c r="E1379" s="40">
        <v>45352</v>
      </c>
    </row>
    <row r="1380" spans="5:5">
      <c r="E1380" s="40">
        <v>45353</v>
      </c>
    </row>
    <row r="1381" spans="5:5">
      <c r="E1381" s="40">
        <v>45354</v>
      </c>
    </row>
    <row r="1382" spans="5:5">
      <c r="E1382" s="40">
        <v>45355</v>
      </c>
    </row>
    <row r="1383" spans="5:5">
      <c r="E1383" s="40">
        <v>45356</v>
      </c>
    </row>
    <row r="1384" spans="5:5">
      <c r="E1384" s="40">
        <v>45357</v>
      </c>
    </row>
    <row r="1385" spans="5:5">
      <c r="E1385" s="40">
        <v>45358</v>
      </c>
    </row>
    <row r="1386" spans="5:5">
      <c r="E1386" s="40">
        <v>45359</v>
      </c>
    </row>
    <row r="1387" spans="5:5">
      <c r="E1387" s="40">
        <v>45360</v>
      </c>
    </row>
    <row r="1388" spans="5:5">
      <c r="E1388" s="40">
        <v>45361</v>
      </c>
    </row>
    <row r="1389" spans="5:5">
      <c r="E1389" s="40">
        <v>45362</v>
      </c>
    </row>
    <row r="1390" spans="5:5">
      <c r="E1390" s="40">
        <v>45363</v>
      </c>
    </row>
    <row r="1391" spans="5:5">
      <c r="E1391" s="40">
        <v>45364</v>
      </c>
    </row>
    <row r="1392" spans="5:5">
      <c r="E1392" s="40">
        <v>45365</v>
      </c>
    </row>
    <row r="1393" spans="5:5">
      <c r="E1393" s="40">
        <v>45366</v>
      </c>
    </row>
    <row r="1394" spans="5:5">
      <c r="E1394" s="40">
        <v>45367</v>
      </c>
    </row>
    <row r="1395" spans="5:5">
      <c r="E1395" s="40">
        <v>45368</v>
      </c>
    </row>
    <row r="1396" spans="5:5">
      <c r="E1396" s="40">
        <v>45369</v>
      </c>
    </row>
    <row r="1397" spans="5:5">
      <c r="E1397" s="40">
        <v>45370</v>
      </c>
    </row>
    <row r="1398" spans="5:5">
      <c r="E1398" s="40">
        <v>45371</v>
      </c>
    </row>
    <row r="1399" spans="5:5">
      <c r="E1399" s="40">
        <v>45372</v>
      </c>
    </row>
    <row r="1400" spans="5:5">
      <c r="E1400" s="40">
        <v>45373</v>
      </c>
    </row>
    <row r="1401" spans="5:5">
      <c r="E1401" s="40">
        <v>45374</v>
      </c>
    </row>
    <row r="1402" spans="5:5">
      <c r="E1402" s="40">
        <v>45375</v>
      </c>
    </row>
    <row r="1403" spans="5:5">
      <c r="E1403" s="40">
        <v>45376</v>
      </c>
    </row>
    <row r="1404" spans="5:5">
      <c r="E1404" s="40">
        <v>45377</v>
      </c>
    </row>
    <row r="1405" spans="5:5">
      <c r="E1405" s="40">
        <v>45378</v>
      </c>
    </row>
    <row r="1406" spans="5:5">
      <c r="E1406" s="40">
        <v>45379</v>
      </c>
    </row>
    <row r="1407" spans="5:5">
      <c r="E1407" s="40">
        <v>45380</v>
      </c>
    </row>
    <row r="1408" spans="5:5">
      <c r="E1408" s="40">
        <v>45381</v>
      </c>
    </row>
    <row r="1409" spans="5:5">
      <c r="E1409" s="40">
        <v>45382</v>
      </c>
    </row>
    <row r="1410" spans="5:5">
      <c r="E1410" s="40">
        <v>45383</v>
      </c>
    </row>
    <row r="1411" spans="5:5">
      <c r="E1411" s="40">
        <v>45384</v>
      </c>
    </row>
    <row r="1412" spans="5:5">
      <c r="E1412" s="40">
        <v>45385</v>
      </c>
    </row>
    <row r="1413" spans="5:5">
      <c r="E1413" s="40">
        <v>45386</v>
      </c>
    </row>
    <row r="1414" spans="5:5">
      <c r="E1414" s="40">
        <v>45387</v>
      </c>
    </row>
    <row r="1415" spans="5:5">
      <c r="E1415" s="40">
        <v>45388</v>
      </c>
    </row>
    <row r="1416" spans="5:5">
      <c r="E1416" s="40">
        <v>45389</v>
      </c>
    </row>
    <row r="1417" spans="5:5">
      <c r="E1417" s="40">
        <v>45390</v>
      </c>
    </row>
    <row r="1418" spans="5:5">
      <c r="E1418" s="40">
        <v>45391</v>
      </c>
    </row>
    <row r="1419" spans="5:5">
      <c r="E1419" s="40">
        <v>45392</v>
      </c>
    </row>
    <row r="1420" spans="5:5">
      <c r="E1420" s="40">
        <v>45393</v>
      </c>
    </row>
    <row r="1421" spans="5:5">
      <c r="E1421" s="40">
        <v>45394</v>
      </c>
    </row>
    <row r="1422" spans="5:5">
      <c r="E1422" s="40">
        <v>45395</v>
      </c>
    </row>
    <row r="1423" spans="5:5">
      <c r="E1423" s="40">
        <v>45396</v>
      </c>
    </row>
    <row r="1424" spans="5:5">
      <c r="E1424" s="40">
        <v>45397</v>
      </c>
    </row>
    <row r="1425" spans="5:5">
      <c r="E1425" s="40">
        <v>45398</v>
      </c>
    </row>
    <row r="1426" spans="5:5">
      <c r="E1426" s="40">
        <v>45399</v>
      </c>
    </row>
    <row r="1427" spans="5:5">
      <c r="E1427" s="40">
        <v>45400</v>
      </c>
    </row>
    <row r="1428" spans="5:5">
      <c r="E1428" s="40">
        <v>45401</v>
      </c>
    </row>
    <row r="1429" spans="5:5">
      <c r="E1429" s="40">
        <v>45402</v>
      </c>
    </row>
    <row r="1430" spans="5:5">
      <c r="E1430" s="40">
        <v>45403</v>
      </c>
    </row>
    <row r="1431" spans="5:5">
      <c r="E1431" s="40">
        <v>45404</v>
      </c>
    </row>
    <row r="1432" spans="5:5">
      <c r="E1432" s="40">
        <v>45405</v>
      </c>
    </row>
    <row r="1433" spans="5:5">
      <c r="E1433" s="40">
        <v>45406</v>
      </c>
    </row>
    <row r="1434" spans="5:5">
      <c r="E1434" s="40">
        <v>45407</v>
      </c>
    </row>
    <row r="1435" spans="5:5">
      <c r="E1435" s="40">
        <v>45408</v>
      </c>
    </row>
    <row r="1436" spans="5:5">
      <c r="E1436" s="40">
        <v>45409</v>
      </c>
    </row>
    <row r="1437" spans="5:5">
      <c r="E1437" s="40">
        <v>45410</v>
      </c>
    </row>
    <row r="1438" spans="5:5">
      <c r="E1438" s="40">
        <v>45411</v>
      </c>
    </row>
    <row r="1439" spans="5:5">
      <c r="E1439" s="40">
        <v>45412</v>
      </c>
    </row>
    <row r="1440" spans="5:5">
      <c r="E1440" s="40">
        <v>45413</v>
      </c>
    </row>
    <row r="1441" spans="5:5">
      <c r="E1441" s="40">
        <v>45414</v>
      </c>
    </row>
    <row r="1442" spans="5:5">
      <c r="E1442" s="40">
        <v>45415</v>
      </c>
    </row>
    <row r="1443" spans="5:5">
      <c r="E1443" s="40">
        <v>45416</v>
      </c>
    </row>
    <row r="1444" spans="5:5">
      <c r="E1444" s="40">
        <v>45417</v>
      </c>
    </row>
    <row r="1445" spans="5:5">
      <c r="E1445" s="40">
        <v>45418</v>
      </c>
    </row>
    <row r="1446" spans="5:5">
      <c r="E1446" s="40">
        <v>45419</v>
      </c>
    </row>
    <row r="1447" spans="5:5">
      <c r="E1447" s="40">
        <v>45420</v>
      </c>
    </row>
    <row r="1448" spans="5:5">
      <c r="E1448" s="40">
        <v>45421</v>
      </c>
    </row>
    <row r="1449" spans="5:5">
      <c r="E1449" s="40">
        <v>45422</v>
      </c>
    </row>
    <row r="1450" spans="5:5">
      <c r="E1450" s="40">
        <v>45423</v>
      </c>
    </row>
    <row r="1451" spans="5:5">
      <c r="E1451" s="40">
        <v>45424</v>
      </c>
    </row>
    <row r="1452" spans="5:5">
      <c r="E1452" s="40">
        <v>45425</v>
      </c>
    </row>
    <row r="1453" spans="5:5">
      <c r="E1453" s="40">
        <v>45426</v>
      </c>
    </row>
    <row r="1454" spans="5:5">
      <c r="E1454" s="40">
        <v>45427</v>
      </c>
    </row>
    <row r="1455" spans="5:5">
      <c r="E1455" s="40">
        <v>45428</v>
      </c>
    </row>
    <row r="1456" spans="5:5">
      <c r="E1456" s="40">
        <v>45429</v>
      </c>
    </row>
    <row r="1457" spans="5:5">
      <c r="E1457" s="40">
        <v>45430</v>
      </c>
    </row>
    <row r="1458" spans="5:5">
      <c r="E1458" s="40">
        <v>45431</v>
      </c>
    </row>
    <row r="1459" spans="5:5">
      <c r="E1459" s="40">
        <v>45432</v>
      </c>
    </row>
    <row r="1460" spans="5:5">
      <c r="E1460" s="40">
        <v>45433</v>
      </c>
    </row>
    <row r="1461" spans="5:5">
      <c r="E1461" s="40">
        <v>45434</v>
      </c>
    </row>
    <row r="1462" spans="5:5">
      <c r="E1462" s="40">
        <v>45435</v>
      </c>
    </row>
    <row r="1463" spans="5:5">
      <c r="E1463" s="40">
        <v>45436</v>
      </c>
    </row>
    <row r="1464" spans="5:5">
      <c r="E1464" s="40">
        <v>45437</v>
      </c>
    </row>
    <row r="1465" spans="5:5">
      <c r="E1465" s="40">
        <v>45438</v>
      </c>
    </row>
    <row r="1466" spans="5:5">
      <c r="E1466" s="40">
        <v>45439</v>
      </c>
    </row>
    <row r="1467" spans="5:5">
      <c r="E1467" s="40">
        <v>45440</v>
      </c>
    </row>
    <row r="1468" spans="5:5">
      <c r="E1468" s="40">
        <v>45441</v>
      </c>
    </row>
    <row r="1469" spans="5:5">
      <c r="E1469" s="40">
        <v>45442</v>
      </c>
    </row>
    <row r="1470" spans="5:5">
      <c r="E1470" s="40">
        <v>45443</v>
      </c>
    </row>
    <row r="1471" spans="5:5">
      <c r="E1471" s="40">
        <v>45444</v>
      </c>
    </row>
    <row r="1472" spans="5:5">
      <c r="E1472" s="40">
        <v>45445</v>
      </c>
    </row>
    <row r="1473" spans="5:5">
      <c r="E1473" s="40">
        <v>45446</v>
      </c>
    </row>
    <row r="1474" spans="5:5">
      <c r="E1474" s="40">
        <v>45447</v>
      </c>
    </row>
    <row r="1475" spans="5:5">
      <c r="E1475" s="40">
        <v>45448</v>
      </c>
    </row>
    <row r="1476" spans="5:5">
      <c r="E1476" s="40">
        <v>45449</v>
      </c>
    </row>
    <row r="1477" spans="5:5">
      <c r="E1477" s="40">
        <v>45450</v>
      </c>
    </row>
    <row r="1478" spans="5:5">
      <c r="E1478" s="40">
        <v>45451</v>
      </c>
    </row>
    <row r="1479" spans="5:5">
      <c r="E1479" s="40">
        <v>45452</v>
      </c>
    </row>
    <row r="1480" spans="5:5">
      <c r="E1480" s="40">
        <v>45453</v>
      </c>
    </row>
    <row r="1481" spans="5:5">
      <c r="E1481" s="40">
        <v>45454</v>
      </c>
    </row>
    <row r="1482" spans="5:5">
      <c r="E1482" s="40">
        <v>45455</v>
      </c>
    </row>
    <row r="1483" spans="5:5">
      <c r="E1483" s="40">
        <v>45456</v>
      </c>
    </row>
    <row r="1484" spans="5:5">
      <c r="E1484" s="40">
        <v>45457</v>
      </c>
    </row>
    <row r="1485" spans="5:5">
      <c r="E1485" s="40">
        <v>45458</v>
      </c>
    </row>
    <row r="1486" spans="5:5">
      <c r="E1486" s="40">
        <v>45459</v>
      </c>
    </row>
    <row r="1487" spans="5:5">
      <c r="E1487" s="40">
        <v>45460</v>
      </c>
    </row>
    <row r="1488" spans="5:5">
      <c r="E1488" s="40">
        <v>45461</v>
      </c>
    </row>
    <row r="1489" spans="5:5">
      <c r="E1489" s="40">
        <v>45462</v>
      </c>
    </row>
    <row r="1490" spans="5:5">
      <c r="E1490" s="40">
        <v>45463</v>
      </c>
    </row>
    <row r="1491" spans="5:5">
      <c r="E1491" s="40">
        <v>45464</v>
      </c>
    </row>
    <row r="1492" spans="5:5">
      <c r="E1492" s="40">
        <v>45465</v>
      </c>
    </row>
    <row r="1493" spans="5:5">
      <c r="E1493" s="40">
        <v>45466</v>
      </c>
    </row>
    <row r="1494" spans="5:5">
      <c r="E1494" s="40">
        <v>45467</v>
      </c>
    </row>
    <row r="1495" spans="5:5">
      <c r="E1495" s="40">
        <v>45468</v>
      </c>
    </row>
    <row r="1496" spans="5:5">
      <c r="E1496" s="40">
        <v>45469</v>
      </c>
    </row>
    <row r="1497" spans="5:5">
      <c r="E1497" s="40">
        <v>45470</v>
      </c>
    </row>
    <row r="1498" spans="5:5">
      <c r="E1498" s="40">
        <v>45471</v>
      </c>
    </row>
    <row r="1499" spans="5:5">
      <c r="E1499" s="40">
        <v>45472</v>
      </c>
    </row>
    <row r="1500" spans="5:5">
      <c r="E1500" s="40">
        <v>45473</v>
      </c>
    </row>
    <row r="1501" spans="5:5">
      <c r="E1501" s="40">
        <v>45474</v>
      </c>
    </row>
    <row r="1502" spans="5:5">
      <c r="E1502" s="40">
        <v>45475</v>
      </c>
    </row>
    <row r="1503" spans="5:5">
      <c r="E1503" s="40">
        <v>45476</v>
      </c>
    </row>
    <row r="1504" spans="5:5">
      <c r="E1504" s="40">
        <v>45477</v>
      </c>
    </row>
    <row r="1505" spans="5:5">
      <c r="E1505" s="40">
        <v>45478</v>
      </c>
    </row>
    <row r="1506" spans="5:5">
      <c r="E1506" s="40">
        <v>45479</v>
      </c>
    </row>
    <row r="1507" spans="5:5">
      <c r="E1507" s="40">
        <v>45480</v>
      </c>
    </row>
    <row r="1508" spans="5:5">
      <c r="E1508" s="40">
        <v>45481</v>
      </c>
    </row>
    <row r="1509" spans="5:5">
      <c r="E1509" s="40">
        <v>45482</v>
      </c>
    </row>
    <row r="1510" spans="5:5">
      <c r="E1510" s="40">
        <v>45483</v>
      </c>
    </row>
    <row r="1511" spans="5:5">
      <c r="E1511" s="40">
        <v>45484</v>
      </c>
    </row>
    <row r="1512" spans="5:5">
      <c r="E1512" s="40">
        <v>45485</v>
      </c>
    </row>
    <row r="1513" spans="5:5">
      <c r="E1513" s="40">
        <v>45486</v>
      </c>
    </row>
    <row r="1514" spans="5:5">
      <c r="E1514" s="40">
        <v>45487</v>
      </c>
    </row>
    <row r="1515" spans="5:5">
      <c r="E1515" s="40">
        <v>45488</v>
      </c>
    </row>
    <row r="1516" spans="5:5">
      <c r="E1516" s="40">
        <v>45489</v>
      </c>
    </row>
    <row r="1517" spans="5:5">
      <c r="E1517" s="40">
        <v>45490</v>
      </c>
    </row>
    <row r="1518" spans="5:5">
      <c r="E1518" s="40">
        <v>45491</v>
      </c>
    </row>
    <row r="1519" spans="5:5">
      <c r="E1519" s="40">
        <v>45492</v>
      </c>
    </row>
    <row r="1520" spans="5:5">
      <c r="E1520" s="40">
        <v>45493</v>
      </c>
    </row>
    <row r="1521" spans="5:5">
      <c r="E1521" s="40">
        <v>45494</v>
      </c>
    </row>
    <row r="1522" spans="5:5">
      <c r="E1522" s="40">
        <v>45495</v>
      </c>
    </row>
    <row r="1523" spans="5:5">
      <c r="E1523" s="40">
        <v>45496</v>
      </c>
    </row>
    <row r="1524" spans="5:5">
      <c r="E1524" s="40">
        <v>45497</v>
      </c>
    </row>
    <row r="1525" spans="5:5">
      <c r="E1525" s="40">
        <v>45498</v>
      </c>
    </row>
    <row r="1526" spans="5:5">
      <c r="E1526" s="40">
        <v>45499</v>
      </c>
    </row>
    <row r="1527" spans="5:5">
      <c r="E1527" s="40">
        <v>45500</v>
      </c>
    </row>
    <row r="1528" spans="5:5">
      <c r="E1528" s="40">
        <v>45501</v>
      </c>
    </row>
    <row r="1529" spans="5:5">
      <c r="E1529" s="40">
        <v>45502</v>
      </c>
    </row>
    <row r="1530" spans="5:5">
      <c r="E1530" s="40">
        <v>45503</v>
      </c>
    </row>
    <row r="1531" spans="5:5">
      <c r="E1531" s="40">
        <v>45504</v>
      </c>
    </row>
    <row r="1532" spans="5:5">
      <c r="E1532" s="40">
        <v>45505</v>
      </c>
    </row>
    <row r="1533" spans="5:5">
      <c r="E1533" s="40">
        <v>45506</v>
      </c>
    </row>
    <row r="1534" spans="5:5">
      <c r="E1534" s="40">
        <v>45507</v>
      </c>
    </row>
    <row r="1535" spans="5:5">
      <c r="E1535" s="40">
        <v>45508</v>
      </c>
    </row>
    <row r="1536" spans="5:5">
      <c r="E1536" s="40">
        <v>45509</v>
      </c>
    </row>
    <row r="1537" spans="5:5">
      <c r="E1537" s="40">
        <v>45510</v>
      </c>
    </row>
    <row r="1538" spans="5:5">
      <c r="E1538" s="40">
        <v>45511</v>
      </c>
    </row>
    <row r="1539" spans="5:5">
      <c r="E1539" s="40">
        <v>45512</v>
      </c>
    </row>
    <row r="1540" spans="5:5">
      <c r="E1540" s="40">
        <v>45513</v>
      </c>
    </row>
    <row r="1541" spans="5:5">
      <c r="E1541" s="40">
        <v>45514</v>
      </c>
    </row>
    <row r="1542" spans="5:5">
      <c r="E1542" s="40">
        <v>45515</v>
      </c>
    </row>
    <row r="1543" spans="5:5">
      <c r="E1543" s="40">
        <v>45516</v>
      </c>
    </row>
    <row r="1544" spans="5:5">
      <c r="E1544" s="40">
        <v>45517</v>
      </c>
    </row>
    <row r="1545" spans="5:5">
      <c r="E1545" s="40">
        <v>45518</v>
      </c>
    </row>
    <row r="1546" spans="5:5">
      <c r="E1546" s="40">
        <v>45519</v>
      </c>
    </row>
    <row r="1547" spans="5:5">
      <c r="E1547" s="40">
        <v>45520</v>
      </c>
    </row>
    <row r="1548" spans="5:5">
      <c r="E1548" s="40">
        <v>45521</v>
      </c>
    </row>
    <row r="1549" spans="5:5">
      <c r="E1549" s="40">
        <v>45522</v>
      </c>
    </row>
    <row r="1550" spans="5:5">
      <c r="E1550" s="40">
        <v>45523</v>
      </c>
    </row>
    <row r="1551" spans="5:5">
      <c r="E1551" s="40">
        <v>45524</v>
      </c>
    </row>
    <row r="1552" spans="5:5">
      <c r="E1552" s="40">
        <v>45525</v>
      </c>
    </row>
    <row r="1553" spans="5:5">
      <c r="E1553" s="40">
        <v>45526</v>
      </c>
    </row>
    <row r="1554" spans="5:5">
      <c r="E1554" s="40">
        <v>45527</v>
      </c>
    </row>
    <row r="1555" spans="5:5">
      <c r="E1555" s="40">
        <v>45528</v>
      </c>
    </row>
    <row r="1556" spans="5:5">
      <c r="E1556" s="40">
        <v>45529</v>
      </c>
    </row>
    <row r="1557" spans="5:5">
      <c r="E1557" s="40">
        <v>45530</v>
      </c>
    </row>
    <row r="1558" spans="5:5">
      <c r="E1558" s="40">
        <v>45531</v>
      </c>
    </row>
    <row r="1559" spans="5:5">
      <c r="E1559" s="40">
        <v>45532</v>
      </c>
    </row>
    <row r="1560" spans="5:5">
      <c r="E1560" s="40">
        <v>45533</v>
      </c>
    </row>
    <row r="1561" spans="5:5">
      <c r="E1561" s="40">
        <v>45534</v>
      </c>
    </row>
    <row r="1562" spans="5:5">
      <c r="E1562" s="40">
        <v>45535</v>
      </c>
    </row>
    <row r="1563" spans="5:5">
      <c r="E1563" s="40">
        <v>45536</v>
      </c>
    </row>
    <row r="1564" spans="5:5">
      <c r="E1564" s="40">
        <v>45537</v>
      </c>
    </row>
    <row r="1565" spans="5:5">
      <c r="E1565" s="40">
        <v>45538</v>
      </c>
    </row>
    <row r="1566" spans="5:5">
      <c r="E1566" s="40">
        <v>45539</v>
      </c>
    </row>
    <row r="1567" spans="5:5">
      <c r="E1567" s="40">
        <v>45540</v>
      </c>
    </row>
    <row r="1568" spans="5:5">
      <c r="E1568" s="40">
        <v>45541</v>
      </c>
    </row>
    <row r="1569" spans="5:5">
      <c r="E1569" s="40">
        <v>45542</v>
      </c>
    </row>
    <row r="1570" spans="5:5">
      <c r="E1570" s="40">
        <v>45543</v>
      </c>
    </row>
    <row r="1571" spans="5:5">
      <c r="E1571" s="40">
        <v>45544</v>
      </c>
    </row>
    <row r="1572" spans="5:5">
      <c r="E1572" s="40">
        <v>45545</v>
      </c>
    </row>
    <row r="1573" spans="5:5">
      <c r="E1573" s="40">
        <v>45546</v>
      </c>
    </row>
    <row r="1574" spans="5:5">
      <c r="E1574" s="40">
        <v>45547</v>
      </c>
    </row>
    <row r="1575" spans="5:5">
      <c r="E1575" s="40">
        <v>45548</v>
      </c>
    </row>
    <row r="1576" spans="5:5">
      <c r="E1576" s="40">
        <v>45549</v>
      </c>
    </row>
    <row r="1577" spans="5:5">
      <c r="E1577" s="40">
        <v>45550</v>
      </c>
    </row>
    <row r="1578" spans="5:5">
      <c r="E1578" s="40">
        <v>45551</v>
      </c>
    </row>
    <row r="1579" spans="5:5">
      <c r="E1579" s="40">
        <v>45552</v>
      </c>
    </row>
    <row r="1580" spans="5:5">
      <c r="E1580" s="40">
        <v>45553</v>
      </c>
    </row>
    <row r="1581" spans="5:5">
      <c r="E1581" s="40">
        <v>45554</v>
      </c>
    </row>
    <row r="1582" spans="5:5">
      <c r="E1582" s="40">
        <v>45555</v>
      </c>
    </row>
    <row r="1583" spans="5:5">
      <c r="E1583" s="40">
        <v>45556</v>
      </c>
    </row>
    <row r="1584" spans="5:5">
      <c r="E1584" s="40">
        <v>45557</v>
      </c>
    </row>
    <row r="1585" spans="5:5">
      <c r="E1585" s="40">
        <v>45558</v>
      </c>
    </row>
    <row r="1586" spans="5:5">
      <c r="E1586" s="40">
        <v>45559</v>
      </c>
    </row>
    <row r="1587" spans="5:5">
      <c r="E1587" s="40">
        <v>45560</v>
      </c>
    </row>
    <row r="1588" spans="5:5">
      <c r="E1588" s="40">
        <v>45561</v>
      </c>
    </row>
    <row r="1589" spans="5:5">
      <c r="E1589" s="40">
        <v>45562</v>
      </c>
    </row>
    <row r="1590" spans="5:5">
      <c r="E1590" s="40">
        <v>45563</v>
      </c>
    </row>
    <row r="1591" spans="5:5">
      <c r="E1591" s="40">
        <v>45564</v>
      </c>
    </row>
    <row r="1592" spans="5:5">
      <c r="E1592" s="40">
        <v>45565</v>
      </c>
    </row>
    <row r="1593" spans="5:5">
      <c r="E1593" s="40">
        <v>45566</v>
      </c>
    </row>
    <row r="1594" spans="5:5">
      <c r="E1594" s="40">
        <v>45567</v>
      </c>
    </row>
    <row r="1595" spans="5:5">
      <c r="E1595" s="40">
        <v>45568</v>
      </c>
    </row>
    <row r="1596" spans="5:5">
      <c r="E1596" s="40">
        <v>45569</v>
      </c>
    </row>
    <row r="1597" spans="5:5">
      <c r="E1597" s="40">
        <v>45570</v>
      </c>
    </row>
    <row r="1598" spans="5:5">
      <c r="E1598" s="40">
        <v>45571</v>
      </c>
    </row>
    <row r="1599" spans="5:5">
      <c r="E1599" s="40">
        <v>45572</v>
      </c>
    </row>
    <row r="1600" spans="5:5">
      <c r="E1600" s="40">
        <v>45573</v>
      </c>
    </row>
    <row r="1601" spans="5:5">
      <c r="E1601" s="40">
        <v>45574</v>
      </c>
    </row>
    <row r="1602" spans="5:5">
      <c r="E1602" s="40">
        <v>45575</v>
      </c>
    </row>
    <row r="1603" spans="5:5">
      <c r="E1603" s="40">
        <v>45576</v>
      </c>
    </row>
    <row r="1604" spans="5:5">
      <c r="E1604" s="40">
        <v>45577</v>
      </c>
    </row>
    <row r="1605" spans="5:5">
      <c r="E1605" s="40">
        <v>45578</v>
      </c>
    </row>
    <row r="1606" spans="5:5">
      <c r="E1606" s="40">
        <v>45579</v>
      </c>
    </row>
    <row r="1607" spans="5:5">
      <c r="E1607" s="40">
        <v>45580</v>
      </c>
    </row>
    <row r="1608" spans="5:5">
      <c r="E1608" s="40">
        <v>45581</v>
      </c>
    </row>
    <row r="1609" spans="5:5">
      <c r="E1609" s="40">
        <v>45582</v>
      </c>
    </row>
    <row r="1610" spans="5:5">
      <c r="E1610" s="40">
        <v>45583</v>
      </c>
    </row>
    <row r="1611" spans="5:5">
      <c r="E1611" s="40">
        <v>45584</v>
      </c>
    </row>
    <row r="1612" spans="5:5">
      <c r="E1612" s="40">
        <v>45585</v>
      </c>
    </row>
    <row r="1613" spans="5:5">
      <c r="E1613" s="40">
        <v>45586</v>
      </c>
    </row>
    <row r="1614" spans="5:5">
      <c r="E1614" s="40">
        <v>45587</v>
      </c>
    </row>
    <row r="1615" spans="5:5">
      <c r="E1615" s="40">
        <v>45588</v>
      </c>
    </row>
    <row r="1616" spans="5:5">
      <c r="E1616" s="40">
        <v>45589</v>
      </c>
    </row>
    <row r="1617" spans="5:5">
      <c r="E1617" s="40">
        <v>45590</v>
      </c>
    </row>
    <row r="1618" spans="5:5">
      <c r="E1618" s="40">
        <v>45591</v>
      </c>
    </row>
    <row r="1619" spans="5:5">
      <c r="E1619" s="40">
        <v>45592</v>
      </c>
    </row>
    <row r="1620" spans="5:5">
      <c r="E1620" s="40">
        <v>45593</v>
      </c>
    </row>
    <row r="1621" spans="5:5">
      <c r="E1621" s="40">
        <v>45594</v>
      </c>
    </row>
    <row r="1622" spans="5:5">
      <c r="E1622" s="40">
        <v>45595</v>
      </c>
    </row>
    <row r="1623" spans="5:5">
      <c r="E1623" s="40">
        <v>45596</v>
      </c>
    </row>
    <row r="1624" spans="5:5">
      <c r="E1624" s="40">
        <v>45597</v>
      </c>
    </row>
    <row r="1625" spans="5:5">
      <c r="E1625" s="40">
        <v>45598</v>
      </c>
    </row>
    <row r="1626" spans="5:5">
      <c r="E1626" s="40">
        <v>45599</v>
      </c>
    </row>
    <row r="1627" spans="5:5">
      <c r="E1627" s="40">
        <v>45600</v>
      </c>
    </row>
    <row r="1628" spans="5:5">
      <c r="E1628" s="40">
        <v>45601</v>
      </c>
    </row>
    <row r="1629" spans="5:5">
      <c r="E1629" s="40">
        <v>45602</v>
      </c>
    </row>
    <row r="1630" spans="5:5">
      <c r="E1630" s="40">
        <v>45603</v>
      </c>
    </row>
    <row r="1631" spans="5:5">
      <c r="E1631" s="40">
        <v>45604</v>
      </c>
    </row>
    <row r="1632" spans="5:5">
      <c r="E1632" s="40">
        <v>45605</v>
      </c>
    </row>
    <row r="1633" spans="5:5">
      <c r="E1633" s="40">
        <v>45606</v>
      </c>
    </row>
    <row r="1634" spans="5:5">
      <c r="E1634" s="40">
        <v>45607</v>
      </c>
    </row>
    <row r="1635" spans="5:5">
      <c r="E1635" s="40">
        <v>45608</v>
      </c>
    </row>
    <row r="1636" spans="5:5">
      <c r="E1636" s="40">
        <v>45609</v>
      </c>
    </row>
    <row r="1637" spans="5:5">
      <c r="E1637" s="40">
        <v>45610</v>
      </c>
    </row>
    <row r="1638" spans="5:5">
      <c r="E1638" s="40">
        <v>45611</v>
      </c>
    </row>
    <row r="1639" spans="5:5">
      <c r="E1639" s="40">
        <v>45612</v>
      </c>
    </row>
    <row r="1640" spans="5:5">
      <c r="E1640" s="40">
        <v>45613</v>
      </c>
    </row>
    <row r="1641" spans="5:5">
      <c r="E1641" s="40">
        <v>45614</v>
      </c>
    </row>
    <row r="1642" spans="5:5">
      <c r="E1642" s="40">
        <v>45615</v>
      </c>
    </row>
    <row r="1643" spans="5:5">
      <c r="E1643" s="40">
        <v>45616</v>
      </c>
    </row>
    <row r="1644" spans="5:5">
      <c r="E1644" s="40">
        <v>45617</v>
      </c>
    </row>
    <row r="1645" spans="5:5">
      <c r="E1645" s="40">
        <v>45618</v>
      </c>
    </row>
    <row r="1646" spans="5:5">
      <c r="E1646" s="40">
        <v>45619</v>
      </c>
    </row>
    <row r="1647" spans="5:5">
      <c r="E1647" s="40">
        <v>45620</v>
      </c>
    </row>
    <row r="1648" spans="5:5">
      <c r="E1648" s="40">
        <v>45621</v>
      </c>
    </row>
    <row r="1649" spans="5:5">
      <c r="E1649" s="40">
        <v>45622</v>
      </c>
    </row>
    <row r="1650" spans="5:5">
      <c r="E1650" s="40">
        <v>45623</v>
      </c>
    </row>
    <row r="1651" spans="5:5">
      <c r="E1651" s="40">
        <v>45624</v>
      </c>
    </row>
    <row r="1652" spans="5:5">
      <c r="E1652" s="40">
        <v>45625</v>
      </c>
    </row>
    <row r="1653" spans="5:5">
      <c r="E1653" s="40">
        <v>45626</v>
      </c>
    </row>
    <row r="1654" spans="5:5">
      <c r="E1654" s="40">
        <v>45627</v>
      </c>
    </row>
    <row r="1655" spans="5:5">
      <c r="E1655" s="40">
        <v>45628</v>
      </c>
    </row>
    <row r="1656" spans="5:5">
      <c r="E1656" s="40">
        <v>45629</v>
      </c>
    </row>
    <row r="1657" spans="5:5">
      <c r="E1657" s="40">
        <v>45630</v>
      </c>
    </row>
    <row r="1658" spans="5:5">
      <c r="E1658" s="40">
        <v>45631</v>
      </c>
    </row>
    <row r="1659" spans="5:5">
      <c r="E1659" s="40">
        <v>45632</v>
      </c>
    </row>
    <row r="1660" spans="5:5">
      <c r="E1660" s="40">
        <v>45633</v>
      </c>
    </row>
    <row r="1661" spans="5:5">
      <c r="E1661" s="40">
        <v>45634</v>
      </c>
    </row>
    <row r="1662" spans="5:5">
      <c r="E1662" s="40">
        <v>45635</v>
      </c>
    </row>
    <row r="1663" spans="5:5">
      <c r="E1663" s="40">
        <v>45636</v>
      </c>
    </row>
    <row r="1664" spans="5:5">
      <c r="E1664" s="40">
        <v>45637</v>
      </c>
    </row>
    <row r="1665" spans="5:5">
      <c r="E1665" s="40">
        <v>45638</v>
      </c>
    </row>
    <row r="1666" spans="5:5">
      <c r="E1666" s="40">
        <v>45639</v>
      </c>
    </row>
    <row r="1667" spans="5:5">
      <c r="E1667" s="40">
        <v>45640</v>
      </c>
    </row>
    <row r="1668" spans="5:5">
      <c r="E1668" s="40">
        <v>45641</v>
      </c>
    </row>
    <row r="1669" spans="5:5">
      <c r="E1669" s="40">
        <v>45642</v>
      </c>
    </row>
    <row r="1670" spans="5:5">
      <c r="E1670" s="40">
        <v>45643</v>
      </c>
    </row>
    <row r="1671" spans="5:5">
      <c r="E1671" s="40">
        <v>45644</v>
      </c>
    </row>
    <row r="1672" spans="5:5">
      <c r="E1672" s="40">
        <v>45645</v>
      </c>
    </row>
    <row r="1673" spans="5:5">
      <c r="E1673" s="40">
        <v>45646</v>
      </c>
    </row>
    <row r="1674" spans="5:5">
      <c r="E1674" s="40">
        <v>45647</v>
      </c>
    </row>
    <row r="1675" spans="5:5">
      <c r="E1675" s="40">
        <v>45648</v>
      </c>
    </row>
    <row r="1676" spans="5:5">
      <c r="E1676" s="40">
        <v>45649</v>
      </c>
    </row>
    <row r="1677" spans="5:5">
      <c r="E1677" s="40">
        <v>45650</v>
      </c>
    </row>
    <row r="1678" spans="5:5">
      <c r="E1678" s="40">
        <v>45651</v>
      </c>
    </row>
    <row r="1679" spans="5:5">
      <c r="E1679" s="40">
        <v>45652</v>
      </c>
    </row>
    <row r="1680" spans="5:5">
      <c r="E1680" s="40">
        <v>45653</v>
      </c>
    </row>
    <row r="1681" spans="5:5">
      <c r="E1681" s="40">
        <v>45654</v>
      </c>
    </row>
    <row r="1682" spans="5:5">
      <c r="E1682" s="40">
        <v>45655</v>
      </c>
    </row>
    <row r="1683" spans="5:5">
      <c r="E1683" s="40">
        <v>45656</v>
      </c>
    </row>
    <row r="1684" spans="5:5">
      <c r="E1684" s="40">
        <v>45657</v>
      </c>
    </row>
    <row r="1685" spans="5:5">
      <c r="E1685" s="40">
        <v>45658</v>
      </c>
    </row>
    <row r="1686" spans="5:5">
      <c r="E1686" s="40">
        <v>45659</v>
      </c>
    </row>
    <row r="1687" spans="5:5">
      <c r="E1687" s="40">
        <v>45660</v>
      </c>
    </row>
    <row r="1688" spans="5:5">
      <c r="E1688" s="40">
        <v>45661</v>
      </c>
    </row>
    <row r="1689" spans="5:5">
      <c r="E1689" s="40">
        <v>45662</v>
      </c>
    </row>
  </sheetData>
  <sortState xmlns:xlrd2="http://schemas.microsoft.com/office/spreadsheetml/2017/richdata2" ref="B4:C1260">
    <sortCondition ref="B4:B1260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9E7F-20AA-5942-9BED-A4D5DFCAABE6}">
  <dimension ref="C2:P39"/>
  <sheetViews>
    <sheetView showGridLines="0" topLeftCell="I1" zoomScale="89" zoomScaleNormal="100" workbookViewId="0">
      <selection activeCell="N4" sqref="N4"/>
    </sheetView>
  </sheetViews>
  <sheetFormatPr defaultColWidth="8.85546875" defaultRowHeight="14.45"/>
  <cols>
    <col min="1" max="1" width="2.42578125" style="1" customWidth="1"/>
    <col min="2" max="2" width="8.85546875" style="1"/>
    <col min="3" max="3" width="16.85546875" style="1" customWidth="1"/>
    <col min="4" max="4" width="26.5703125" style="1" bestFit="1" customWidth="1"/>
    <col min="5" max="6" width="16.85546875" style="1" customWidth="1"/>
    <col min="7" max="7" width="19.42578125" style="1" bestFit="1" customWidth="1"/>
    <col min="8" max="11" width="16.85546875" style="1" customWidth="1"/>
    <col min="12" max="12" width="14.42578125" style="1" bestFit="1" customWidth="1"/>
    <col min="13" max="16" width="16.85546875" style="1" customWidth="1"/>
    <col min="17" max="16384" width="8.85546875" style="1"/>
  </cols>
  <sheetData>
    <row r="2" spans="3:16" ht="29.1">
      <c r="C2" s="38" t="s">
        <v>149</v>
      </c>
      <c r="D2" s="38" t="s">
        <v>150</v>
      </c>
      <c r="E2" s="38" t="s">
        <v>151</v>
      </c>
      <c r="F2" s="85" t="s">
        <v>152</v>
      </c>
      <c r="G2" s="86" t="s">
        <v>153</v>
      </c>
      <c r="H2" s="84" t="s">
        <v>154</v>
      </c>
      <c r="I2" s="84" t="s">
        <v>155</v>
      </c>
      <c r="J2" s="38" t="s">
        <v>156</v>
      </c>
      <c r="K2" s="84" t="s">
        <v>157</v>
      </c>
      <c r="L2" s="84" t="s">
        <v>158</v>
      </c>
      <c r="M2" s="84" t="s">
        <v>159</v>
      </c>
      <c r="N2" s="38" t="s">
        <v>160</v>
      </c>
      <c r="O2" s="38" t="s">
        <v>161</v>
      </c>
      <c r="P2" s="38" t="s">
        <v>162</v>
      </c>
    </row>
    <row r="3" spans="3:16">
      <c r="C3" s="130" t="s">
        <v>143</v>
      </c>
      <c r="D3" s="130" t="s">
        <v>163</v>
      </c>
      <c r="E3" s="131">
        <f>WACC!C23</f>
        <v>43.91</v>
      </c>
      <c r="F3" s="158">
        <f>WACC!C15</f>
        <v>103827000</v>
      </c>
      <c r="G3" s="159">
        <f>E3*F3</f>
        <v>4559043570</v>
      </c>
      <c r="H3" s="159">
        <f>Projections!F98*1000</f>
        <v>324210000</v>
      </c>
      <c r="I3" s="159">
        <f>Projections!F41*1000</f>
        <v>293233000</v>
      </c>
      <c r="J3" s="159">
        <f t="shared" ref="J3:J8" si="0">G3+H3-I3</f>
        <v>4590020570</v>
      </c>
      <c r="K3" s="159">
        <f>Projections!F23*1000</f>
        <v>358360000</v>
      </c>
      <c r="L3" s="159">
        <f>Projections!F11*1000</f>
        <v>6404223000</v>
      </c>
      <c r="M3" s="131">
        <f>Projections!F32</f>
        <v>2.41</v>
      </c>
      <c r="N3" s="132">
        <f>J3/K3</f>
        <v>12.808406546489564</v>
      </c>
      <c r="O3" s="132">
        <f>J3/L3</f>
        <v>0.7167177923067326</v>
      </c>
      <c r="P3" s="132">
        <f>E3/M3</f>
        <v>18.219917012448132</v>
      </c>
    </row>
    <row r="4" spans="3:16">
      <c r="C4" s="1" t="s">
        <v>164</v>
      </c>
      <c r="D4" s="1" t="s">
        <v>165</v>
      </c>
      <c r="E4" s="55">
        <v>44.6</v>
      </c>
      <c r="F4" s="155">
        <f>727*1000000</f>
        <v>727000000</v>
      </c>
      <c r="G4" s="156">
        <f>E4*F4</f>
        <v>32424200000</v>
      </c>
      <c r="H4" s="157">
        <f>12068*1000000</f>
        <v>12068000000</v>
      </c>
      <c r="I4" s="157">
        <f>1015*1000000</f>
        <v>1015000000</v>
      </c>
      <c r="J4" s="156">
        <f t="shared" si="0"/>
        <v>43477200000</v>
      </c>
      <c r="K4" s="156">
        <f>4126*1000000</f>
        <v>4126000000</v>
      </c>
      <c r="L4" s="156">
        <f>148258*1000000</f>
        <v>148258000000</v>
      </c>
      <c r="M4" s="120">
        <v>3.1</v>
      </c>
      <c r="N4" s="83">
        <f t="shared" ref="N4:N9" si="1">J4/$K4</f>
        <v>10.537372758119243</v>
      </c>
      <c r="O4" s="83">
        <f>J4/$L4</f>
        <v>0.29325365241673301</v>
      </c>
      <c r="P4" s="83">
        <f t="shared" ref="P4:P9" si="2">E4/$M4</f>
        <v>14.387096774193548</v>
      </c>
    </row>
    <row r="5" spans="3:16">
      <c r="C5" s="1" t="s">
        <v>166</v>
      </c>
      <c r="D5" s="1" t="s">
        <v>167</v>
      </c>
      <c r="E5" s="55">
        <v>28.47</v>
      </c>
      <c r="F5" s="155">
        <f>100162*1000</f>
        <v>100162000</v>
      </c>
      <c r="G5" s="156">
        <f>E5*F5</f>
        <v>2851612140</v>
      </c>
      <c r="H5" s="155">
        <f>379650*1000</f>
        <v>379650000</v>
      </c>
      <c r="I5" s="155">
        <f>102728*1000</f>
        <v>102728000</v>
      </c>
      <c r="J5" s="156">
        <f t="shared" si="0"/>
        <v>3128534140</v>
      </c>
      <c r="K5" s="156">
        <f>214050*1000</f>
        <v>214050000</v>
      </c>
      <c r="L5" s="156">
        <f>3578101*1000</f>
        <v>3578101000</v>
      </c>
      <c r="M5" s="120">
        <v>0.67</v>
      </c>
      <c r="N5" s="83">
        <f t="shared" si="1"/>
        <v>14.615903480495211</v>
      </c>
      <c r="O5" s="83">
        <f>J5/$L$4</f>
        <v>2.1101958342888749E-2</v>
      </c>
      <c r="P5" s="83">
        <f t="shared" si="2"/>
        <v>42.492537313432834</v>
      </c>
    </row>
    <row r="6" spans="3:16">
      <c r="C6" s="1" t="s">
        <v>168</v>
      </c>
      <c r="D6" s="1" t="s">
        <v>169</v>
      </c>
      <c r="E6" s="55">
        <v>21.98</v>
      </c>
      <c r="F6" s="155">
        <f>534*1000000</f>
        <v>534000000</v>
      </c>
      <c r="G6" s="156">
        <f>E6*F6</f>
        <v>11737320000</v>
      </c>
      <c r="H6" s="155">
        <f>7834.4*1000000</f>
        <v>7834400000</v>
      </c>
      <c r="I6" s="155">
        <f>455.8*1000000</f>
        <v>455800000</v>
      </c>
      <c r="J6" s="156">
        <f t="shared" si="0"/>
        <v>19115920000</v>
      </c>
      <c r="K6" s="156">
        <f>2307.1*1000000</f>
        <v>2307100000</v>
      </c>
      <c r="L6" s="156">
        <f>77649.7*1000000</f>
        <v>77649700000</v>
      </c>
      <c r="M6" s="120">
        <v>2.29</v>
      </c>
      <c r="N6" s="83">
        <f t="shared" si="1"/>
        <v>8.2856919942785314</v>
      </c>
      <c r="O6" s="83">
        <f>J6/$L$4</f>
        <v>0.1289368533232608</v>
      </c>
      <c r="P6" s="83">
        <f t="shared" si="2"/>
        <v>9.5982532751091707</v>
      </c>
    </row>
    <row r="7" spans="3:16">
      <c r="C7" s="1" t="s">
        <v>170</v>
      </c>
      <c r="D7" s="1" t="s">
        <v>171</v>
      </c>
      <c r="E7" s="55">
        <v>134.78</v>
      </c>
      <c r="F7" s="155">
        <f>464.7*1000000</f>
        <v>464700000</v>
      </c>
      <c r="G7" s="156">
        <f t="shared" ref="G7:G9" si="3">E7*F7</f>
        <v>62632266000</v>
      </c>
      <c r="H7" s="155">
        <f>16009*1000000</f>
        <v>16009000000</v>
      </c>
      <c r="I7" s="155">
        <f>2229*1000000</f>
        <v>2229000000</v>
      </c>
      <c r="J7" s="156">
        <f t="shared" si="0"/>
        <v>76412266000</v>
      </c>
      <c r="K7" s="156">
        <f>7082*1000000</f>
        <v>7082000000</v>
      </c>
      <c r="L7" s="156">
        <f>107588*1000000</f>
        <v>107588000000</v>
      </c>
      <c r="M7" s="120">
        <v>6.02</v>
      </c>
      <c r="N7" s="83">
        <f t="shared" si="1"/>
        <v>10.789645015532335</v>
      </c>
      <c r="O7" s="83">
        <f>J7/$L$4</f>
        <v>0.51540062593586855</v>
      </c>
      <c r="P7" s="83">
        <f t="shared" si="2"/>
        <v>22.388704318936878</v>
      </c>
    </row>
    <row r="8" spans="3:16">
      <c r="C8" s="1" t="s">
        <v>172</v>
      </c>
      <c r="D8" s="1" t="s">
        <v>173</v>
      </c>
      <c r="E8" s="55">
        <v>154.34</v>
      </c>
      <c r="F8" s="155">
        <f>2734*1000000</f>
        <v>2734000000</v>
      </c>
      <c r="G8" s="156">
        <f t="shared" si="3"/>
        <v>421965560000</v>
      </c>
      <c r="H8" s="155">
        <f>34649*1000000+12828*1000000</f>
        <v>47477000000</v>
      </c>
      <c r="I8" s="155">
        <f>8625*1000000</f>
        <v>8625000000</v>
      </c>
      <c r="J8" s="156">
        <f t="shared" si="0"/>
        <v>460817560000</v>
      </c>
      <c r="K8" s="156">
        <f>37853*1000000</f>
        <v>37853000000</v>
      </c>
      <c r="L8" s="156">
        <f>611289*1000000</f>
        <v>611289000000</v>
      </c>
      <c r="M8" s="120">
        <v>4.29</v>
      </c>
      <c r="N8" s="83">
        <f t="shared" si="1"/>
        <v>12.173871555755158</v>
      </c>
      <c r="O8" s="83">
        <f>J8/$L$4</f>
        <v>3.1082137894751041</v>
      </c>
      <c r="P8" s="83">
        <f t="shared" si="2"/>
        <v>35.976689976689975</v>
      </c>
    </row>
    <row r="9" spans="3:16">
      <c r="C9" s="1" t="s">
        <v>174</v>
      </c>
      <c r="D9" s="1" t="s">
        <v>175</v>
      </c>
      <c r="E9" s="55">
        <v>596.25</v>
      </c>
      <c r="F9" s="155">
        <f>444452*1000</f>
        <v>444452000</v>
      </c>
      <c r="G9" s="156">
        <f t="shared" si="3"/>
        <v>265004505000</v>
      </c>
      <c r="H9" s="155">
        <f>5377*1000000</f>
        <v>5377000000</v>
      </c>
      <c r="I9" s="155">
        <f>13700*1000000</f>
        <v>13700000000</v>
      </c>
      <c r="J9" s="156">
        <f t="shared" ref="J9" si="4">G9+H9-I9</f>
        <v>256681505000</v>
      </c>
      <c r="K9" s="156">
        <f>10580*1000000</f>
        <v>10580000000</v>
      </c>
      <c r="L9" s="156">
        <f>242290*1000000</f>
        <v>242290000000</v>
      </c>
      <c r="M9" s="120">
        <v>14.18</v>
      </c>
      <c r="N9" s="83">
        <f t="shared" si="1"/>
        <v>24.261011814744801</v>
      </c>
      <c r="O9" s="83">
        <f>J9/$L$4</f>
        <v>1.7313163876485587</v>
      </c>
      <c r="P9" s="83">
        <f t="shared" si="2"/>
        <v>42.048660084626235</v>
      </c>
    </row>
    <row r="10" spans="3:16">
      <c r="F10" s="60"/>
    </row>
    <row r="11" spans="3:16">
      <c r="C11" s="2" t="s">
        <v>176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51">
        <f>MEDIAN(N4:N9)</f>
        <v>11.481758285643746</v>
      </c>
      <c r="O11" s="51">
        <f>MEDIAN(O4:O9)</f>
        <v>0.40432713917630081</v>
      </c>
      <c r="P11" s="51">
        <f>MEDIAN(P4:P9)</f>
        <v>29.182697147813428</v>
      </c>
    </row>
    <row r="16" spans="3:16">
      <c r="J16" s="148" t="s">
        <v>177</v>
      </c>
      <c r="K16" s="152">
        <f t="shared" ref="K16:P16" si="5">MIN(K4:K9)</f>
        <v>214050000</v>
      </c>
      <c r="L16" s="152">
        <f t="shared" si="5"/>
        <v>3578101000</v>
      </c>
      <c r="M16" s="133">
        <f t="shared" si="5"/>
        <v>0.67</v>
      </c>
      <c r="N16" s="134">
        <f t="shared" si="5"/>
        <v>8.2856919942785314</v>
      </c>
      <c r="O16" s="134">
        <f t="shared" si="5"/>
        <v>2.1101958342888749E-2</v>
      </c>
      <c r="P16" s="135">
        <f t="shared" si="5"/>
        <v>9.5982532751091707</v>
      </c>
    </row>
    <row r="17" spans="10:16">
      <c r="J17" s="149" t="s">
        <v>178</v>
      </c>
      <c r="K17" s="151">
        <f t="shared" ref="K17:P17" si="6">QUARTILE(K4:K9,1)</f>
        <v>2761825000</v>
      </c>
      <c r="L17" s="151">
        <f t="shared" si="6"/>
        <v>85134275000</v>
      </c>
      <c r="M17" s="124">
        <f t="shared" si="6"/>
        <v>2.4925000000000002</v>
      </c>
      <c r="N17" s="83">
        <f t="shared" si="6"/>
        <v>10.600440822472516</v>
      </c>
      <c r="O17" s="83">
        <f t="shared" si="6"/>
        <v>0.17001605309662884</v>
      </c>
      <c r="P17" s="136">
        <f t="shared" si="6"/>
        <v>16.387498660379379</v>
      </c>
    </row>
    <row r="18" spans="10:16">
      <c r="J18" s="149" t="s">
        <v>176</v>
      </c>
      <c r="K18" s="151">
        <f t="shared" ref="K18:P18" si="7">MEDIAN(K4:K9)</f>
        <v>5604000000</v>
      </c>
      <c r="L18" s="151">
        <f t="shared" si="7"/>
        <v>127923000000</v>
      </c>
      <c r="M18" s="124">
        <f t="shared" si="7"/>
        <v>3.6950000000000003</v>
      </c>
      <c r="N18" s="83">
        <f t="shared" si="7"/>
        <v>11.481758285643746</v>
      </c>
      <c r="O18" s="83">
        <f t="shared" si="7"/>
        <v>0.40432713917630081</v>
      </c>
      <c r="P18" s="136">
        <f t="shared" si="7"/>
        <v>29.182697147813428</v>
      </c>
    </row>
    <row r="19" spans="10:16">
      <c r="J19" s="149" t="s">
        <v>179</v>
      </c>
      <c r="K19" s="151">
        <f t="shared" ref="K19:P19" si="8">QUARTILE(K4:K9,3)</f>
        <v>9705500000</v>
      </c>
      <c r="L19" s="151">
        <f t="shared" si="8"/>
        <v>218782000000</v>
      </c>
      <c r="M19" s="124">
        <f t="shared" si="8"/>
        <v>5.5874999999999995</v>
      </c>
      <c r="N19" s="83">
        <f t="shared" si="8"/>
        <v>14.005395499310197</v>
      </c>
      <c r="O19" s="83">
        <f t="shared" si="8"/>
        <v>1.4273374472203861</v>
      </c>
      <c r="P19" s="136">
        <f t="shared" si="8"/>
        <v>40.530667557642168</v>
      </c>
    </row>
    <row r="20" spans="10:16">
      <c r="J20" s="149" t="s">
        <v>180</v>
      </c>
      <c r="K20" s="151">
        <f t="shared" ref="K20:P20" si="9">MAX(K4:K9)</f>
        <v>37853000000</v>
      </c>
      <c r="L20" s="151">
        <f t="shared" si="9"/>
        <v>611289000000</v>
      </c>
      <c r="M20" s="124">
        <f t="shared" si="9"/>
        <v>14.18</v>
      </c>
      <c r="N20" s="83">
        <f t="shared" si="9"/>
        <v>24.261011814744801</v>
      </c>
      <c r="O20" s="83">
        <f t="shared" si="9"/>
        <v>3.1082137894751041</v>
      </c>
      <c r="P20" s="136">
        <f t="shared" si="9"/>
        <v>42.492537313432834</v>
      </c>
    </row>
    <row r="21" spans="10:16">
      <c r="J21" s="150" t="s">
        <v>181</v>
      </c>
      <c r="K21" s="153">
        <f t="shared" ref="K21:P21" si="10">AVERAGE(K4:K9)</f>
        <v>10360358333.333334</v>
      </c>
      <c r="L21" s="153">
        <f t="shared" si="10"/>
        <v>198442133500</v>
      </c>
      <c r="M21" s="137">
        <f t="shared" si="10"/>
        <v>5.0916666666666668</v>
      </c>
      <c r="N21" s="138">
        <f t="shared" si="10"/>
        <v>13.443916103154214</v>
      </c>
      <c r="O21" s="138">
        <f t="shared" si="10"/>
        <v>0.9663705445237355</v>
      </c>
      <c r="P21" s="139">
        <f t="shared" si="10"/>
        <v>27.815323623831443</v>
      </c>
    </row>
    <row r="23" spans="10:16">
      <c r="J23" s="148" t="s">
        <v>177</v>
      </c>
      <c r="K23" s="140"/>
      <c r="L23" s="140"/>
      <c r="M23" s="140"/>
      <c r="N23" s="141">
        <f t="shared" ref="N23:N28" si="11">((N16*$K$3)+$I$3-$H$3)/$F$3</f>
        <v>28.299802393112142</v>
      </c>
      <c r="O23" s="141">
        <f t="shared" ref="O23:O28" si="12">((O16*$L$3)+$I$3-$H$3)/$F$3</f>
        <v>1.0032520150304838</v>
      </c>
      <c r="P23" s="142">
        <f t="shared" ref="P23:P28" si="13">$M$3*P16</f>
        <v>23.131790393013102</v>
      </c>
    </row>
    <row r="24" spans="10:16">
      <c r="J24" s="149" t="s">
        <v>178</v>
      </c>
      <c r="N24" s="143">
        <f t="shared" si="11"/>
        <v>36.289182709133947</v>
      </c>
      <c r="O24" s="143">
        <f t="shared" si="12"/>
        <v>10.188522422979107</v>
      </c>
      <c r="P24" s="144">
        <f t="shared" si="13"/>
        <v>39.493871771514307</v>
      </c>
    </row>
    <row r="25" spans="10:16">
      <c r="J25" s="149" t="s">
        <v>176</v>
      </c>
      <c r="N25" s="143">
        <f t="shared" si="11"/>
        <v>39.331059351067573</v>
      </c>
      <c r="O25" s="143">
        <f t="shared" si="12"/>
        <v>24.641222073613481</v>
      </c>
      <c r="P25" s="144">
        <f t="shared" si="13"/>
        <v>70.33030012623037</v>
      </c>
    </row>
    <row r="26" spans="10:16">
      <c r="J26" s="149" t="s">
        <v>179</v>
      </c>
      <c r="N26" s="143">
        <f t="shared" si="11"/>
        <v>48.041420161738294</v>
      </c>
      <c r="O26" s="143">
        <f t="shared" si="12"/>
        <v>87.742208753504215</v>
      </c>
      <c r="P26" s="144">
        <f t="shared" si="13"/>
        <v>97.67890881391763</v>
      </c>
    </row>
    <row r="27" spans="10:16">
      <c r="J27" s="149" t="s">
        <v>180</v>
      </c>
      <c r="N27" s="143">
        <f t="shared" si="11"/>
        <v>83.438789466438863</v>
      </c>
      <c r="O27" s="143">
        <f t="shared" si="12"/>
        <v>191.42147263692121</v>
      </c>
      <c r="P27" s="144">
        <f t="shared" si="13"/>
        <v>102.40701492537313</v>
      </c>
    </row>
    <row r="28" spans="10:16">
      <c r="J28" s="150" t="s">
        <v>181</v>
      </c>
      <c r="K28" s="145"/>
      <c r="L28" s="145"/>
      <c r="M28" s="145"/>
      <c r="N28" s="146">
        <f t="shared" si="11"/>
        <v>46.103468025911795</v>
      </c>
      <c r="O28" s="146">
        <f t="shared" si="12"/>
        <v>59.308999275346785</v>
      </c>
      <c r="P28" s="147">
        <f t="shared" si="13"/>
        <v>67.034929933433787</v>
      </c>
    </row>
    <row r="34" spans="3:5">
      <c r="C34" s="2" t="s">
        <v>182</v>
      </c>
      <c r="D34" s="2" t="s">
        <v>178</v>
      </c>
      <c r="E34" s="2" t="s">
        <v>183</v>
      </c>
    </row>
    <row r="35" spans="3:5">
      <c r="C35" s="1" t="s">
        <v>160</v>
      </c>
      <c r="D35" s="124">
        <f>N24</f>
        <v>36.289182709133947</v>
      </c>
      <c r="E35" s="124">
        <f>N26-N24</f>
        <v>11.752237452604348</v>
      </c>
    </row>
    <row r="36" spans="3:5">
      <c r="C36" s="1" t="s">
        <v>161</v>
      </c>
      <c r="D36" s="124">
        <f>O24</f>
        <v>10.188522422979107</v>
      </c>
      <c r="E36" s="124">
        <f>O26-O24</f>
        <v>77.55368633052511</v>
      </c>
    </row>
    <row r="37" spans="3:5">
      <c r="C37" s="1" t="s">
        <v>162</v>
      </c>
      <c r="D37" s="124">
        <f>P28</f>
        <v>67.034929933433787</v>
      </c>
      <c r="E37" s="124">
        <f>P26-P24</f>
        <v>58.185037042403323</v>
      </c>
    </row>
    <row r="38" spans="3:5">
      <c r="C38" s="1" t="s">
        <v>184</v>
      </c>
      <c r="D38" s="124">
        <f>P24</f>
        <v>39.493871771514307</v>
      </c>
      <c r="E38" s="124">
        <f>DCF!O27-DCF!S23</f>
        <v>33.228878070278263</v>
      </c>
    </row>
    <row r="39" spans="3:5">
      <c r="C39" s="1" t="s">
        <v>185</v>
      </c>
      <c r="D39" s="124">
        <f>DCF!H32</f>
        <v>46.73881351370536</v>
      </c>
      <c r="E39" s="124">
        <f>DCF!O36-DCF!S32</f>
        <v>8.6356849638524906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AC3F-46DE-0742-9E3B-ED88DF956130}">
  <dimension ref="B2:I14"/>
  <sheetViews>
    <sheetView showGridLines="0" zoomScale="133" zoomScaleNormal="100" workbookViewId="0">
      <selection activeCell="J21" sqref="J21"/>
    </sheetView>
  </sheetViews>
  <sheetFormatPr defaultColWidth="8.85546875" defaultRowHeight="14.45"/>
  <cols>
    <col min="1" max="1" width="2.42578125" style="1" customWidth="1"/>
    <col min="2" max="2" width="10.85546875" style="1" bestFit="1" customWidth="1"/>
    <col min="3" max="16384" width="8.85546875" style="1"/>
  </cols>
  <sheetData>
    <row r="2" spans="2:9">
      <c r="B2" s="38" t="s">
        <v>186</v>
      </c>
      <c r="C2" s="54" t="s">
        <v>187</v>
      </c>
      <c r="D2" s="54" t="s">
        <v>188</v>
      </c>
      <c r="E2" s="54" t="s">
        <v>189</v>
      </c>
      <c r="F2" s="54" t="s">
        <v>190</v>
      </c>
      <c r="G2" s="54" t="s">
        <v>191</v>
      </c>
      <c r="H2" s="54" t="s">
        <v>192</v>
      </c>
    </row>
    <row r="3" spans="2:9">
      <c r="B3" s="1" t="s">
        <v>193</v>
      </c>
      <c r="C3" s="24">
        <f>Projections!C30/Projections!C35</f>
        <v>1.2535101534749682</v>
      </c>
      <c r="D3" s="24">
        <f>Projections!D30/Projections!D35</f>
        <v>2.4397178771186798</v>
      </c>
      <c r="E3" s="24">
        <f>Projections!E30/Projections!E35</f>
        <v>2.116167000355357</v>
      </c>
      <c r="F3" s="24">
        <f>Projections!F30/Projections!F35</f>
        <v>2.4130017000517405</v>
      </c>
      <c r="G3" s="24">
        <f>Projections!G30/Projections!G35</f>
        <v>0.76659518070881372</v>
      </c>
      <c r="H3" s="24">
        <f>Projections!H30/Projections!H35</f>
        <v>0.95240767420410843</v>
      </c>
    </row>
    <row r="4" spans="2:9">
      <c r="B4" s="1" t="s">
        <v>194</v>
      </c>
      <c r="C4" s="24">
        <v>35.53</v>
      </c>
      <c r="D4" s="24">
        <v>31.44</v>
      </c>
      <c r="E4" s="24">
        <v>53.94</v>
      </c>
      <c r="F4" s="24">
        <v>39.61</v>
      </c>
      <c r="G4" s="24">
        <v>49.85</v>
      </c>
      <c r="H4" s="24">
        <v>58.14</v>
      </c>
    </row>
    <row r="5" spans="2:9">
      <c r="B5" s="1" t="s">
        <v>195</v>
      </c>
      <c r="C5" s="53">
        <f>Beta!F41/Projections!C32</f>
        <v>18.791999999999998</v>
      </c>
      <c r="D5" s="53">
        <f>Beta!F293/'Data Box'!D3</f>
        <v>7.6197334840841888</v>
      </c>
      <c r="E5" s="53">
        <f>Beta!F546/'Data Box'!E3</f>
        <v>9.5597370134790314</v>
      </c>
      <c r="F5" s="53">
        <f>Beta!F798/'Data Box'!F3</f>
        <v>12.337330719394711</v>
      </c>
      <c r="G5" s="53">
        <f>Beta!F1049/'Data Box'!G3</f>
        <v>40.334195646013022</v>
      </c>
      <c r="H5" s="53">
        <f>40/H3</f>
        <v>41.998821600662247</v>
      </c>
      <c r="I5" s="1" t="s">
        <v>196</v>
      </c>
    </row>
    <row r="6" spans="2:9">
      <c r="B6" s="1" t="s">
        <v>197</v>
      </c>
      <c r="C6" s="52">
        <v>23.16</v>
      </c>
      <c r="D6" s="52">
        <v>39.9</v>
      </c>
      <c r="E6" s="52">
        <v>24.09</v>
      </c>
      <c r="F6" s="52">
        <v>22.23</v>
      </c>
      <c r="G6" s="52">
        <v>22.36</v>
      </c>
      <c r="H6" s="52">
        <v>19.86</v>
      </c>
    </row>
    <row r="7" spans="2:9">
      <c r="B7" s="1" t="s">
        <v>198</v>
      </c>
      <c r="C7" s="46">
        <f>C5/C6</f>
        <v>0.81139896373056986</v>
      </c>
      <c r="D7" s="46">
        <f t="shared" ref="D7:H7" si="0">D5/D6</f>
        <v>0.19097076401213506</v>
      </c>
      <c r="E7" s="46">
        <f t="shared" si="0"/>
        <v>0.39683424713487053</v>
      </c>
      <c r="F7" s="46">
        <f t="shared" si="0"/>
        <v>0.5549856373996721</v>
      </c>
      <c r="G7" s="46">
        <f t="shared" si="0"/>
        <v>1.8038549036678453</v>
      </c>
      <c r="H7" s="46">
        <f t="shared" si="0"/>
        <v>2.1147442900635571</v>
      </c>
    </row>
    <row r="9" spans="2:9">
      <c r="B9" s="38" t="s">
        <v>199</v>
      </c>
      <c r="C9" s="54" t="s">
        <v>187</v>
      </c>
      <c r="D9" s="54" t="s">
        <v>188</v>
      </c>
      <c r="E9" s="54" t="s">
        <v>189</v>
      </c>
      <c r="F9" s="54" t="s">
        <v>190</v>
      </c>
      <c r="G9" s="54" t="s">
        <v>191</v>
      </c>
      <c r="H9" s="54" t="s">
        <v>192</v>
      </c>
    </row>
    <row r="10" spans="2:9">
      <c r="B10" s="1" t="s">
        <v>193</v>
      </c>
      <c r="C10" s="55">
        <v>1.2535101534749682</v>
      </c>
      <c r="D10" s="55">
        <v>2.4397178771186798</v>
      </c>
      <c r="E10" s="55">
        <v>2.116167000355357</v>
      </c>
      <c r="F10" s="55">
        <v>2.4130017000517405</v>
      </c>
      <c r="G10" s="55">
        <v>3.1657227775534613</v>
      </c>
      <c r="H10" s="55">
        <v>3.7038781167831778</v>
      </c>
    </row>
    <row r="11" spans="2:9">
      <c r="B11" s="1" t="s">
        <v>194</v>
      </c>
      <c r="C11" s="55">
        <v>35.53</v>
      </c>
      <c r="D11" s="55">
        <v>31.44</v>
      </c>
      <c r="E11" s="55">
        <v>53.94</v>
      </c>
      <c r="F11" s="55">
        <v>39.61</v>
      </c>
      <c r="G11" s="55">
        <v>49.85</v>
      </c>
      <c r="H11" s="55">
        <v>58.14</v>
      </c>
    </row>
    <row r="12" spans="2:9">
      <c r="B12" s="1" t="s">
        <v>195</v>
      </c>
      <c r="C12" s="52">
        <f>C5</f>
        <v>18.791999999999998</v>
      </c>
      <c r="D12" s="52">
        <f>D5</f>
        <v>7.6197334840841888</v>
      </c>
      <c r="E12" s="52">
        <f>E5</f>
        <v>9.5597370134790314</v>
      </c>
      <c r="F12" s="52">
        <f>F5</f>
        <v>12.337330719394711</v>
      </c>
      <c r="G12" s="53">
        <f>Beta!F1049/'Data Box'!G10</f>
        <v>9.7671218147205057</v>
      </c>
      <c r="H12" s="52">
        <f>30/H10</f>
        <v>8.0996185765570043</v>
      </c>
      <c r="I12" s="1" t="s">
        <v>200</v>
      </c>
    </row>
    <row r="13" spans="2:9">
      <c r="B13" s="1" t="s">
        <v>197</v>
      </c>
      <c r="C13" s="52">
        <v>23.16</v>
      </c>
      <c r="D13" s="52">
        <v>39.9</v>
      </c>
      <c r="E13" s="52">
        <v>24.09</v>
      </c>
      <c r="F13" s="52">
        <v>22.23</v>
      </c>
      <c r="G13" s="52">
        <v>22.36</v>
      </c>
      <c r="H13" s="52">
        <v>19.86</v>
      </c>
    </row>
    <row r="14" spans="2:9">
      <c r="B14" s="1" t="s">
        <v>198</v>
      </c>
      <c r="C14" s="56">
        <v>4.3056983622278847E-2</v>
      </c>
      <c r="D14" s="56">
        <v>2.5065554824615897E-2</v>
      </c>
      <c r="E14" s="56">
        <v>4.1586189022537107E-2</v>
      </c>
      <c r="F14" s="56">
        <v>4.4928296477433988E-2</v>
      </c>
      <c r="G14" s="56">
        <v>4.4722719141323794E-2</v>
      </c>
      <c r="H14" s="56">
        <v>5.0352467270896276E-2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74A7-4B04-C345-919B-8EC5CB65EB50}">
  <dimension ref="B2:S50"/>
  <sheetViews>
    <sheetView showGridLines="0" topLeftCell="A13" zoomScaleNormal="125" workbookViewId="0">
      <selection activeCell="H23" sqref="H23"/>
    </sheetView>
  </sheetViews>
  <sheetFormatPr defaultColWidth="10.85546875" defaultRowHeight="14.45"/>
  <cols>
    <col min="1" max="1" width="2.42578125" style="1" customWidth="1"/>
    <col min="2" max="2" width="28.140625" style="1" customWidth="1"/>
    <col min="3" max="3" width="20.140625" style="1" bestFit="1" customWidth="1"/>
    <col min="4" max="7" width="10.85546875" style="1"/>
    <col min="8" max="8" width="11.5703125" style="1" customWidth="1"/>
    <col min="9" max="11" width="10.85546875" style="1"/>
    <col min="12" max="12" width="10.85546875" style="1" customWidth="1"/>
    <col min="13" max="13" width="4.42578125" style="1" customWidth="1"/>
    <col min="14" max="16384" width="10.85546875" style="1"/>
  </cols>
  <sheetData>
    <row r="2" spans="2:9">
      <c r="B2" s="38" t="s">
        <v>0</v>
      </c>
      <c r="C2" s="38"/>
      <c r="D2" s="38"/>
      <c r="E2" s="38"/>
      <c r="F2" s="38"/>
      <c r="G2" s="38"/>
      <c r="H2" s="38"/>
    </row>
    <row r="3" spans="2:9">
      <c r="B3" s="37" t="s">
        <v>201</v>
      </c>
    </row>
    <row r="4" spans="2:9">
      <c r="B4" s="1" t="s">
        <v>12</v>
      </c>
    </row>
    <row r="5" spans="2:9">
      <c r="B5" s="38" t="s">
        <v>202</v>
      </c>
      <c r="C5" s="38">
        <v>2023</v>
      </c>
      <c r="D5" s="38">
        <v>2024</v>
      </c>
      <c r="E5" s="38">
        <v>2025</v>
      </c>
      <c r="F5" s="38">
        <v>2026</v>
      </c>
      <c r="G5" s="38">
        <v>2027</v>
      </c>
      <c r="H5" s="38">
        <v>2028</v>
      </c>
      <c r="I5" s="38" t="s">
        <v>14</v>
      </c>
    </row>
    <row r="6" spans="2:9">
      <c r="B6" s="2" t="s">
        <v>158</v>
      </c>
      <c r="C6" s="23">
        <f>Projections!G11</f>
        <v>7026457.3066799995</v>
      </c>
      <c r="D6" s="23">
        <f>Projections!H11</f>
        <v>7675019.297262324</v>
      </c>
      <c r="E6" s="23">
        <f>Projections!I11</f>
        <v>8298439.7070623562</v>
      </c>
      <c r="F6" s="23">
        <f>Projections!J11</f>
        <v>8891616.3214443736</v>
      </c>
      <c r="G6" s="23">
        <f>Projections!K11</f>
        <v>9450928.0834586751</v>
      </c>
      <c r="H6" s="23">
        <f>Projections!L11</f>
        <v>9974086.2614462823</v>
      </c>
    </row>
    <row r="7" spans="2:9">
      <c r="B7" s="36" t="s">
        <v>17</v>
      </c>
      <c r="D7" s="94">
        <f>(D6-C6)/C6</f>
        <v>9.2302843705567184E-2</v>
      </c>
      <c r="E7" s="94">
        <f>(E6-D6)/D6</f>
        <v>8.1227210727979005E-2</v>
      </c>
      <c r="F7" s="94">
        <f>(F6-E6)/E6</f>
        <v>7.1480499385588911E-2</v>
      </c>
      <c r="G7" s="46">
        <f>(G6-F6)/F6</f>
        <v>6.2903272227950308E-2</v>
      </c>
      <c r="H7" s="94">
        <f>(H6-G6)/G6</f>
        <v>5.5355217325508577E-2</v>
      </c>
    </row>
    <row r="8" spans="2:9">
      <c r="B8" s="2" t="s">
        <v>203</v>
      </c>
      <c r="C8" s="23">
        <f>Projections!G23</f>
        <v>392884.91610387585</v>
      </c>
      <c r="D8" s="23">
        <f>Projections!H23</f>
        <v>393030.4184334905</v>
      </c>
      <c r="E8" s="23">
        <f>Projections!I23</f>
        <v>374447.40531092306</v>
      </c>
      <c r="F8" s="23">
        <f>Projections!J23</f>
        <v>331382.67911609623</v>
      </c>
      <c r="G8" s="23">
        <f>Projections!K23</f>
        <v>256493.54305703612</v>
      </c>
      <c r="H8" s="23">
        <f>Projections!L23</f>
        <v>140283.64792307792</v>
      </c>
      <c r="I8" s="43" t="s">
        <v>204</v>
      </c>
    </row>
    <row r="9" spans="2:9">
      <c r="B9" s="36" t="s">
        <v>205</v>
      </c>
      <c r="C9" s="46">
        <f>C8/C6</f>
        <v>5.5915079101151462E-2</v>
      </c>
      <c r="D9" s="94">
        <f t="shared" ref="C9:H9" si="0">D8/D6</f>
        <v>5.1209046285223582E-2</v>
      </c>
      <c r="E9" s="94">
        <f t="shared" si="0"/>
        <v>4.5122627690148909E-2</v>
      </c>
      <c r="F9" s="94">
        <f>F8/F6</f>
        <v>3.7269115888062261E-2</v>
      </c>
      <c r="G9" s="94">
        <f t="shared" si="0"/>
        <v>2.7139508500330201E-2</v>
      </c>
      <c r="H9" s="94">
        <f t="shared" si="0"/>
        <v>1.4064811978349205E-2</v>
      </c>
      <c r="I9" s="1" t="s">
        <v>206</v>
      </c>
    </row>
    <row r="10" spans="2:9">
      <c r="B10" s="2" t="s">
        <v>207</v>
      </c>
      <c r="C10" s="23">
        <f>C8*(1-C11)</f>
        <v>297654.82888828649</v>
      </c>
      <c r="D10" s="23">
        <f t="shared" ref="D10:H10" si="1">D8*(1-D11)</f>
        <v>297765.06338507956</v>
      </c>
      <c r="E10" s="23">
        <f t="shared" si="1"/>
        <v>283686.32591131981</v>
      </c>
      <c r="F10" s="23">
        <f t="shared" si="1"/>
        <v>251059.91756314845</v>
      </c>
      <c r="G10" s="23">
        <f t="shared" si="1"/>
        <v>194322.91375983233</v>
      </c>
      <c r="H10" s="23">
        <f t="shared" si="1"/>
        <v>106280.75425356462</v>
      </c>
      <c r="I10" s="1" t="s">
        <v>208</v>
      </c>
    </row>
    <row r="11" spans="2:9">
      <c r="B11" s="36" t="s">
        <v>209</v>
      </c>
      <c r="C11" s="96">
        <f>WACC!C11</f>
        <v>0.24238672270739769</v>
      </c>
      <c r="D11" s="87">
        <f>C11</f>
        <v>0.24238672270739769</v>
      </c>
      <c r="E11" s="56">
        <f t="shared" ref="E11:H11" si="2">D11</f>
        <v>0.24238672270739769</v>
      </c>
      <c r="F11" s="56">
        <f t="shared" si="2"/>
        <v>0.24238672270739769</v>
      </c>
      <c r="G11" s="87">
        <f>F11</f>
        <v>0.24238672270739769</v>
      </c>
      <c r="H11" s="56">
        <f t="shared" si="2"/>
        <v>0.24238672270739769</v>
      </c>
      <c r="I11" s="43" t="s">
        <v>210</v>
      </c>
    </row>
    <row r="12" spans="2:9">
      <c r="B12" s="1" t="s">
        <v>211</v>
      </c>
      <c r="C12" s="23">
        <f>Projections!G82</f>
        <v>152137.29687733165</v>
      </c>
      <c r="D12" s="100">
        <f>Projections!H82</f>
        <v>157759.7909602836</v>
      </c>
      <c r="E12" s="23">
        <f>Projections!I82</f>
        <v>172675.92833902681</v>
      </c>
      <c r="F12" s="23">
        <f>Projections!J82</f>
        <v>184478.97959383242</v>
      </c>
      <c r="G12" s="23">
        <f>Projections!K82</f>
        <v>198251.66572246276</v>
      </c>
      <c r="H12" s="23">
        <f>Projections!L82</f>
        <v>207237.70037511655</v>
      </c>
    </row>
    <row r="13" spans="2:9">
      <c r="B13" s="1" t="s">
        <v>212</v>
      </c>
      <c r="C13" s="23">
        <f>Projections!G78</f>
        <v>153739.02145768495</v>
      </c>
      <c r="D13" s="23">
        <f>Projections!H78</f>
        <v>147518.42627975901</v>
      </c>
      <c r="E13" s="23">
        <f>Projections!I78</f>
        <v>160259.54517620365</v>
      </c>
      <c r="F13" s="23">
        <f>Projections!J78</f>
        <v>177335.30197871634</v>
      </c>
      <c r="G13" s="23">
        <f>Projections!K78</f>
        <v>189861.40506936607</v>
      </c>
      <c r="H13" s="23">
        <f>Projections!L78</f>
        <v>195905.73054400409</v>
      </c>
    </row>
    <row r="14" spans="2:9">
      <c r="B14" s="1" t="s">
        <v>213</v>
      </c>
      <c r="C14" s="119">
        <f>Projections!G100</f>
        <v>-23729.227617067692</v>
      </c>
      <c r="D14" s="119">
        <f>Projections!H100</f>
        <v>3000.7860264718183</v>
      </c>
      <c r="E14" s="23">
        <f>Projections!I100</f>
        <v>3912.9652140017715</v>
      </c>
      <c r="F14" s="23">
        <f>Projections!J100</f>
        <v>1420.0581468936289</v>
      </c>
      <c r="G14" s="23">
        <f>Projections!K100</f>
        <v>3121.6432812079438</v>
      </c>
      <c r="H14" s="23">
        <f>Projections!L100</f>
        <v>2492.1434794535744</v>
      </c>
    </row>
    <row r="15" spans="2:9">
      <c r="B15" s="65" t="s">
        <v>214</v>
      </c>
      <c r="C15" s="68">
        <f>C10+C12-C13-C14</f>
        <v>319782.33192500094</v>
      </c>
      <c r="D15" s="68">
        <f t="shared" ref="D15:H15" si="3">D10+D12-D13-D14</f>
        <v>305005.64203913236</v>
      </c>
      <c r="E15" s="68">
        <f t="shared" si="3"/>
        <v>292189.7438601412</v>
      </c>
      <c r="F15" s="68">
        <f t="shared" si="3"/>
        <v>256783.53703137091</v>
      </c>
      <c r="G15" s="68">
        <f t="shared" si="3"/>
        <v>199591.53113172107</v>
      </c>
      <c r="H15" s="68">
        <f t="shared" si="3"/>
        <v>115120.58060522351</v>
      </c>
      <c r="I15" s="1" t="s">
        <v>215</v>
      </c>
    </row>
    <row r="16" spans="2:9">
      <c r="B16" s="36" t="s">
        <v>17</v>
      </c>
      <c r="D16" s="94">
        <f>(D15-C15)/C15</f>
        <v>-4.6208587563037022E-2</v>
      </c>
      <c r="E16" s="46">
        <f>(E15-D15)/D15</f>
        <v>-4.2018561011887369E-2</v>
      </c>
      <c r="F16" s="46">
        <f>(F15-E15)/E15</f>
        <v>-0.1211753922674224</v>
      </c>
      <c r="G16" s="46">
        <f>(G15-F15)/F15</f>
        <v>-0.2227245818047236</v>
      </c>
      <c r="H16" s="46">
        <f>(H15-G15)/G15</f>
        <v>-0.42321911179062344</v>
      </c>
    </row>
    <row r="17" spans="2:19">
      <c r="B17" s="43" t="s">
        <v>216</v>
      </c>
      <c r="C17" s="82">
        <f>0.25</f>
        <v>0.25</v>
      </c>
      <c r="D17" s="43">
        <f>C17+1</f>
        <v>1.25</v>
      </c>
      <c r="E17" s="43">
        <f t="shared" ref="E17:H17" si="4">D17+1</f>
        <v>2.25</v>
      </c>
      <c r="F17" s="43">
        <f t="shared" si="4"/>
        <v>3.25</v>
      </c>
      <c r="G17" s="43">
        <f t="shared" si="4"/>
        <v>4.25</v>
      </c>
      <c r="H17" s="43">
        <f t="shared" si="4"/>
        <v>5.25</v>
      </c>
    </row>
    <row r="18" spans="2:19">
      <c r="B18" s="1" t="s">
        <v>217</v>
      </c>
      <c r="C18" s="98">
        <f>1/(1+WACC!$C$21)^C17</f>
        <v>0.98551312030427218</v>
      </c>
      <c r="D18" s="98">
        <f>1/(1+WACC!$C$21)^D17</f>
        <v>0.92963411437434695</v>
      </c>
      <c r="E18" s="98">
        <f>1/(1+WACC!$C$21)^E17</f>
        <v>0.87692347144171245</v>
      </c>
      <c r="F18" s="98">
        <f>1/(1+WACC!$C$21)^F17</f>
        <v>0.82720154399984025</v>
      </c>
      <c r="G18" s="98">
        <f>1/(1+WACC!$C$21)^G17</f>
        <v>0.7802988706309264</v>
      </c>
      <c r="H18" s="98">
        <f>1/(1+WACC!$C$21)^H17</f>
        <v>0.73605559845040225</v>
      </c>
      <c r="I18" s="1" t="s">
        <v>218</v>
      </c>
    </row>
    <row r="19" spans="2:19">
      <c r="B19" s="1" t="s">
        <v>219</v>
      </c>
      <c r="C19" s="99">
        <f>C15*C18</f>
        <v>315149.68375358416</v>
      </c>
      <c r="D19" s="99">
        <f t="shared" ref="D19:H19" si="5">D15*D18</f>
        <v>283543.64991622791</v>
      </c>
      <c r="E19" s="99">
        <f t="shared" si="5"/>
        <v>256228.0445054998</v>
      </c>
      <c r="F19" s="99">
        <f>F15*F18</f>
        <v>212411.73830609018</v>
      </c>
      <c r="G19" s="99">
        <f t="shared" si="5"/>
        <v>155741.04632957935</v>
      </c>
      <c r="H19" s="99">
        <f>H15*H18</f>
        <v>84735.147851335569</v>
      </c>
    </row>
    <row r="21" spans="2:19">
      <c r="B21" s="38" t="s">
        <v>220</v>
      </c>
      <c r="C21" s="38"/>
      <c r="E21" s="38" t="s">
        <v>221</v>
      </c>
      <c r="F21" s="38"/>
      <c r="G21" s="38"/>
      <c r="H21" s="38"/>
      <c r="I21" s="38" t="s">
        <v>14</v>
      </c>
      <c r="M21" s="74"/>
      <c r="N21" s="74"/>
      <c r="O21" s="164" t="s">
        <v>222</v>
      </c>
      <c r="P21" s="164"/>
      <c r="Q21" s="164"/>
      <c r="R21" s="164"/>
      <c r="S21" s="164"/>
    </row>
    <row r="22" spans="2:19">
      <c r="B22" s="1" t="s">
        <v>223</v>
      </c>
      <c r="C22" s="60">
        <f>G15</f>
        <v>199591.53113172107</v>
      </c>
      <c r="E22" s="1" t="s">
        <v>224</v>
      </c>
      <c r="H22" s="60">
        <f>G8+G12</f>
        <v>454745.20877949888</v>
      </c>
      <c r="M22" s="74"/>
      <c r="N22" s="75">
        <f>C32</f>
        <v>45.465260840386236</v>
      </c>
      <c r="O22" s="76">
        <f>P22-0.005</f>
        <v>5.0100000000000006E-2</v>
      </c>
      <c r="P22" s="76">
        <f>Q22-0.005</f>
        <v>5.5100000000000003E-2</v>
      </c>
      <c r="Q22" s="76">
        <v>6.0100000000000001E-2</v>
      </c>
      <c r="R22" s="76">
        <f>Q22+0.005</f>
        <v>6.5100000000000005E-2</v>
      </c>
      <c r="S22" s="76">
        <f>R22+0.005</f>
        <v>7.010000000000001E-2</v>
      </c>
    </row>
    <row r="23" spans="2:19" ht="14.45" customHeight="1">
      <c r="B23" s="1" t="s">
        <v>222</v>
      </c>
      <c r="C23" s="56">
        <f>C35</f>
        <v>6.0108600863397019E-2</v>
      </c>
      <c r="E23" s="1" t="s">
        <v>225</v>
      </c>
      <c r="H23" s="89">
        <f>Comps!N11</f>
        <v>11.481758285643746</v>
      </c>
      <c r="M23" s="165" t="s">
        <v>226</v>
      </c>
      <c r="N23" s="78">
        <v>1.7000000000000001E-2</v>
      </c>
      <c r="O23" s="59">
        <f t="dataTable" ref="O23:S27" dt2D="1" dtr="1" r1="C23" r2="C24"/>
        <v>55.114836674667515</v>
      </c>
      <c r="P23" s="59">
        <v>47.843029041779658</v>
      </c>
      <c r="Q23" s="59">
        <v>42.259706811132475</v>
      </c>
      <c r="R23" s="59">
        <v>37.838300176663928</v>
      </c>
      <c r="S23" s="59">
        <v>34.25057095119481</v>
      </c>
    </row>
    <row r="24" spans="2:19" ht="15" customHeight="1">
      <c r="B24" s="1" t="s">
        <v>227</v>
      </c>
      <c r="C24" s="88">
        <v>0.02</v>
      </c>
      <c r="M24" s="165"/>
      <c r="N24" s="78">
        <v>1.8499999999999999E-2</v>
      </c>
      <c r="O24" s="59">
        <v>57.765793910414601</v>
      </c>
      <c r="P24" s="59">
        <v>49.833541833615755</v>
      </c>
      <c r="Q24" s="59">
        <v>43.809420702663765</v>
      </c>
      <c r="R24" s="59">
        <v>39.079209661390905</v>
      </c>
      <c r="S24" s="59">
        <v>35.266758202151458</v>
      </c>
    </row>
    <row r="25" spans="2:19">
      <c r="B25" s="1" t="s">
        <v>228</v>
      </c>
      <c r="C25" s="60">
        <f>C22*(1+C24)/(C23-C24)</f>
        <v>5075803.1288033547</v>
      </c>
      <c r="E25" s="1" t="s">
        <v>228</v>
      </c>
      <c r="H25" s="60">
        <f>H22*H23</f>
        <v>5221274.5687608067</v>
      </c>
      <c r="M25" s="165"/>
      <c r="N25" s="78">
        <v>0.02</v>
      </c>
      <c r="O25" s="59">
        <v>60.680966153046761</v>
      </c>
      <c r="P25" s="59">
        <v>51.994183923899385</v>
      </c>
      <c r="Q25" s="59">
        <v>45.475073289322076</v>
      </c>
      <c r="R25" s="59">
        <v>40.402663014281551</v>
      </c>
      <c r="S25" s="59">
        <v>36.343794989093539</v>
      </c>
    </row>
    <row r="26" spans="2:19">
      <c r="B26" s="2" t="s">
        <v>229</v>
      </c>
      <c r="C26" s="60">
        <f>C25/(1+C23)^G18</f>
        <v>4849800.9400479319</v>
      </c>
      <c r="E26" s="2" t="s">
        <v>229</v>
      </c>
      <c r="H26" s="60">
        <f>H25/(1+C23)^G18</f>
        <v>4988795.2052613078</v>
      </c>
      <c r="M26" s="165"/>
      <c r="N26" s="78">
        <v>2.1499999999999998E-2</v>
      </c>
      <c r="O26" s="59">
        <v>63.90192569385713</v>
      </c>
      <c r="P26" s="59">
        <v>54.34774048652978</v>
      </c>
      <c r="Q26" s="59">
        <v>47.27018074022844</v>
      </c>
      <c r="R26" s="59">
        <v>41.817179671270161</v>
      </c>
      <c r="S26" s="59">
        <v>37.487315528315989</v>
      </c>
    </row>
    <row r="27" spans="2:19">
      <c r="B27" s="2" t="s">
        <v>156</v>
      </c>
      <c r="C27" s="60">
        <f>SUM(C19:G19,C26)</f>
        <v>6072875.1028589131</v>
      </c>
      <c r="E27" s="2" t="s">
        <v>156</v>
      </c>
      <c r="H27" s="60">
        <f>SUM(C19:G19,H26)</f>
        <v>6211869.368072289</v>
      </c>
      <c r="M27" s="165"/>
      <c r="N27" s="78">
        <v>2.3E-2</v>
      </c>
      <c r="O27" s="59">
        <v>67.479449021473073</v>
      </c>
      <c r="P27" s="59">
        <v>56.92125560641535</v>
      </c>
      <c r="Q27" s="59">
        <v>49.210445127865775</v>
      </c>
      <c r="R27" s="59">
        <v>43.332493239683139</v>
      </c>
      <c r="S27" s="59">
        <v>38.703671770673608</v>
      </c>
    </row>
    <row r="28" spans="2:19">
      <c r="B28" s="1" t="s">
        <v>230</v>
      </c>
      <c r="C28" s="23">
        <f>WACC!C17</f>
        <v>1404075</v>
      </c>
      <c r="E28" s="1" t="s">
        <v>230</v>
      </c>
      <c r="H28" s="60">
        <f>C28</f>
        <v>1404075</v>
      </c>
    </row>
    <row r="29" spans="2:19">
      <c r="B29" s="1" t="s">
        <v>231</v>
      </c>
      <c r="C29" s="23">
        <f>Projections!F41</f>
        <v>293233</v>
      </c>
      <c r="E29" s="1" t="s">
        <v>231</v>
      </c>
      <c r="H29" s="60">
        <f>C29</f>
        <v>293233</v>
      </c>
      <c r="I29" s="1" t="s">
        <v>232</v>
      </c>
    </row>
    <row r="30" spans="2:19">
      <c r="B30" s="67" t="s">
        <v>233</v>
      </c>
      <c r="C30" s="72">
        <f>C27-C28+C29</f>
        <v>4962033.1028589131</v>
      </c>
      <c r="E30" s="67" t="s">
        <v>233</v>
      </c>
      <c r="F30" s="4"/>
      <c r="G30" s="4"/>
      <c r="H30" s="72">
        <f>H27-H28+H29</f>
        <v>5101027.368072289</v>
      </c>
      <c r="M30" s="74"/>
      <c r="N30" s="74"/>
      <c r="O30" s="164" t="s">
        <v>222</v>
      </c>
      <c r="P30" s="164"/>
      <c r="Q30" s="164"/>
      <c r="R30" s="164"/>
      <c r="S30" s="164"/>
    </row>
    <row r="31" spans="2:19">
      <c r="B31" s="1" t="s">
        <v>152</v>
      </c>
      <c r="C31" s="23">
        <f>Projections!F36</f>
        <v>109139</v>
      </c>
      <c r="E31" s="1" t="s">
        <v>152</v>
      </c>
      <c r="H31" s="60">
        <f>C31</f>
        <v>109139</v>
      </c>
      <c r="M31" s="74"/>
      <c r="N31" s="122">
        <f>H32</f>
        <v>46.73881351370536</v>
      </c>
      <c r="O31" s="76">
        <v>5.0099999999999999E-2</v>
      </c>
      <c r="P31" s="76">
        <f>O31+0.005</f>
        <v>5.5099999999999996E-2</v>
      </c>
      <c r="Q31" s="76">
        <f t="shared" ref="Q31:S31" si="6">P31+0.005</f>
        <v>6.0099999999999994E-2</v>
      </c>
      <c r="R31" s="76">
        <f t="shared" si="6"/>
        <v>6.5099999999999991E-2</v>
      </c>
      <c r="S31" s="76">
        <f t="shared" si="6"/>
        <v>7.0099999999999996E-2</v>
      </c>
    </row>
    <row r="32" spans="2:19">
      <c r="B32" s="65" t="s">
        <v>234</v>
      </c>
      <c r="C32" s="73">
        <f>C30/C31</f>
        <v>45.465260840386236</v>
      </c>
      <c r="E32" s="65" t="s">
        <v>234</v>
      </c>
      <c r="F32" s="66"/>
      <c r="G32" s="66"/>
      <c r="H32" s="73">
        <f>H30/H31</f>
        <v>46.73881351370536</v>
      </c>
      <c r="M32" s="165" t="s">
        <v>160</v>
      </c>
      <c r="N32" s="77">
        <v>10.48</v>
      </c>
      <c r="O32" s="123">
        <f t="dataTable" ref="O32:S36" dt2D="1" dtr="1" r1="C35" r2="H23" ca="1"/>
        <v>43.060644446844073</v>
      </c>
      <c r="P32" s="59">
        <v>42.90513849947672</v>
      </c>
      <c r="Q32" s="59">
        <v>42.750938989664874</v>
      </c>
      <c r="R32" s="59">
        <v>42.598028857195835</v>
      </c>
      <c r="S32" s="59">
        <v>42.44639134335177</v>
      </c>
    </row>
    <row r="33" spans="2:19">
      <c r="M33" s="165"/>
      <c r="N33" s="77">
        <f>N32+0.5</f>
        <v>10.98</v>
      </c>
      <c r="O33" s="59">
        <v>45.066002411934122</v>
      </c>
      <c r="P33" s="59">
        <v>44.903077287688546</v>
      </c>
      <c r="Q33" s="59">
        <v>44.741520931034536</v>
      </c>
      <c r="R33" s="59">
        <v>44.581315467817923</v>
      </c>
      <c r="S33" s="59">
        <v>44.422443339763753</v>
      </c>
    </row>
    <row r="34" spans="2:19">
      <c r="M34" s="165"/>
      <c r="N34" s="77">
        <f t="shared" ref="N34:N36" si="7">N33+0.5</f>
        <v>11.48</v>
      </c>
      <c r="O34" s="59">
        <v>47.07136037702417</v>
      </c>
      <c r="P34" s="59">
        <v>46.90101607590038</v>
      </c>
      <c r="Q34" s="59">
        <v>46.732102872404198</v>
      </c>
      <c r="R34" s="59">
        <v>46.564602078440018</v>
      </c>
      <c r="S34" s="59">
        <v>46.398495336175728</v>
      </c>
    </row>
    <row r="35" spans="2:19">
      <c r="B35" s="69" t="s">
        <v>222</v>
      </c>
      <c r="C35" s="91">
        <f>WACC!C21</f>
        <v>6.0108600863397019E-2</v>
      </c>
      <c r="E35" s="121"/>
      <c r="F35" s="59"/>
      <c r="M35" s="165"/>
      <c r="N35" s="77">
        <f t="shared" si="7"/>
        <v>11.98</v>
      </c>
      <c r="O35" s="59">
        <v>49.076718342114212</v>
      </c>
      <c r="P35" s="59">
        <v>48.898954864112213</v>
      </c>
      <c r="Q35" s="59">
        <v>48.72268481377386</v>
      </c>
      <c r="R35" s="59">
        <v>48.54788868906212</v>
      </c>
      <c r="S35" s="59">
        <v>48.37454733258771</v>
      </c>
    </row>
    <row r="36" spans="2:19">
      <c r="B36" s="70" t="s">
        <v>227</v>
      </c>
      <c r="C36" s="90">
        <v>0.02</v>
      </c>
      <c r="F36" s="46"/>
      <c r="G36" s="56"/>
      <c r="M36" s="165"/>
      <c r="N36" s="77">
        <f t="shared" si="7"/>
        <v>12.48</v>
      </c>
      <c r="O36" s="59">
        <v>51.082076307204261</v>
      </c>
      <c r="P36" s="59">
        <v>50.896893652324046</v>
      </c>
      <c r="Q36" s="59">
        <v>50.713266755143536</v>
      </c>
      <c r="R36" s="59">
        <v>50.531175299684215</v>
      </c>
      <c r="S36" s="59">
        <v>50.350599328999692</v>
      </c>
    </row>
    <row r="37" spans="2:19">
      <c r="B37" s="71" t="s">
        <v>225</v>
      </c>
      <c r="C37" s="92">
        <f>H23</f>
        <v>11.481758285643746</v>
      </c>
      <c r="F37" s="52"/>
    </row>
    <row r="40" spans="2:19">
      <c r="C40" s="56"/>
      <c r="D40" s="52"/>
    </row>
    <row r="41" spans="2:19">
      <c r="N41" s="1" t="s">
        <v>235</v>
      </c>
      <c r="O41" s="124">
        <f>(S23+S32)/2</f>
        <v>38.34848114727329</v>
      </c>
    </row>
    <row r="42" spans="2:19">
      <c r="B42" s="38" t="s">
        <v>0</v>
      </c>
      <c r="C42" s="38"/>
      <c r="D42" s="38"/>
      <c r="E42" s="38"/>
      <c r="F42" s="38"/>
      <c r="N42" s="1" t="s">
        <v>236</v>
      </c>
      <c r="O42" s="124">
        <f>(Q25+Q34)/2</f>
        <v>46.103588080863133</v>
      </c>
    </row>
    <row r="43" spans="2:19">
      <c r="B43" s="38" t="s">
        <v>237</v>
      </c>
      <c r="C43" s="38" t="s">
        <v>238</v>
      </c>
      <c r="D43" s="38" t="s">
        <v>235</v>
      </c>
      <c r="E43" s="38" t="s">
        <v>236</v>
      </c>
      <c r="F43" s="38" t="s">
        <v>239</v>
      </c>
      <c r="N43" s="1" t="s">
        <v>239</v>
      </c>
      <c r="O43" s="124">
        <f>(O36+O27)/2</f>
        <v>59.280762664338667</v>
      </c>
    </row>
    <row r="44" spans="2:19">
      <c r="B44" s="1" t="s">
        <v>160</v>
      </c>
      <c r="C44" s="127">
        <v>0.1</v>
      </c>
      <c r="D44" s="59">
        <f>Comps!N24</f>
        <v>36.289182709133947</v>
      </c>
      <c r="E44" s="59">
        <f>Comps!N25</f>
        <v>39.331059351067573</v>
      </c>
      <c r="F44" s="59">
        <f>Comps!N26</f>
        <v>48.041420161738294</v>
      </c>
    </row>
    <row r="45" spans="2:19">
      <c r="B45" s="1" t="s">
        <v>161</v>
      </c>
      <c r="C45" s="127">
        <v>0.05</v>
      </c>
      <c r="D45" s="59">
        <f>Comps!O24</f>
        <v>10.188522422979107</v>
      </c>
      <c r="E45" s="59">
        <f>Comps!O25</f>
        <v>24.641222073613481</v>
      </c>
      <c r="F45" s="59">
        <f>Comps!O26</f>
        <v>87.742208753504215</v>
      </c>
    </row>
    <row r="46" spans="2:19">
      <c r="B46" s="1" t="s">
        <v>162</v>
      </c>
      <c r="C46" s="127">
        <v>0.05</v>
      </c>
      <c r="D46" s="59">
        <f>Comps!P24</f>
        <v>39.493871771514307</v>
      </c>
      <c r="E46" s="59">
        <f>Comps!P25</f>
        <v>70.33030012623037</v>
      </c>
      <c r="F46" s="59">
        <f>Comps!P26</f>
        <v>97.67890881391763</v>
      </c>
    </row>
    <row r="47" spans="2:19">
      <c r="B47" s="1" t="s">
        <v>184</v>
      </c>
      <c r="C47" s="127">
        <v>0.4</v>
      </c>
      <c r="D47" s="59">
        <f>S23</f>
        <v>34.25057095119481</v>
      </c>
      <c r="E47" s="59">
        <f>Q25</f>
        <v>45.475073289322076</v>
      </c>
      <c r="F47" s="59">
        <f>O27</f>
        <v>67.479449021473073</v>
      </c>
    </row>
    <row r="48" spans="2:19">
      <c r="B48" s="1" t="s">
        <v>185</v>
      </c>
      <c r="C48" s="127">
        <v>0.4</v>
      </c>
      <c r="D48" s="59">
        <f>S32</f>
        <v>42.44639134335177</v>
      </c>
      <c r="E48" s="59">
        <f>Q34</f>
        <v>46.732102872404198</v>
      </c>
      <c r="F48" s="59">
        <f>O36</f>
        <v>51.082076307204261</v>
      </c>
    </row>
    <row r="49" spans="2:6">
      <c r="B49" s="128" t="s">
        <v>240</v>
      </c>
      <c r="C49" s="128"/>
      <c r="D49" s="129">
        <f>$C$44*D44+$C$45*D45+$C$46*D46+$C$47*D47+$C$48*D48</f>
        <v>36.791822898456701</v>
      </c>
      <c r="E49" s="129">
        <f>$C$44*E44+$C$45*E45+$C$46*E46+$C$47*E47+$C$48*E48</f>
        <v>45.564552509789465</v>
      </c>
      <c r="F49" s="129">
        <f>$C$44*F44+$C$45*F45+$C$46*F46+$C$47*F47+$C$48*F48</f>
        <v>61.499808026015856</v>
      </c>
    </row>
    <row r="50" spans="2:6">
      <c r="C50" s="127"/>
    </row>
  </sheetData>
  <mergeCells count="4">
    <mergeCell ref="O21:S21"/>
    <mergeCell ref="M23:M27"/>
    <mergeCell ref="O30:S30"/>
    <mergeCell ref="M32:M36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11A3-E384-764C-8367-A7071A85D188}">
  <dimension ref="B2:L25"/>
  <sheetViews>
    <sheetView showGridLines="0" zoomScale="87" zoomScaleNormal="125" workbookViewId="0">
      <selection activeCell="F13" sqref="F13"/>
    </sheetView>
  </sheetViews>
  <sheetFormatPr defaultColWidth="10.85546875" defaultRowHeight="14.45"/>
  <cols>
    <col min="1" max="1" width="2.42578125" style="1" customWidth="1"/>
    <col min="2" max="2" width="32.42578125" style="1" customWidth="1"/>
    <col min="3" max="3" width="18" style="1" bestFit="1" customWidth="1"/>
    <col min="4" max="8" width="10.85546875" style="1"/>
    <col min="9" max="9" width="18.42578125" style="1" customWidth="1"/>
    <col min="10" max="16384" width="10.85546875" style="1"/>
  </cols>
  <sheetData>
    <row r="2" spans="2:12">
      <c r="B2" s="38" t="s">
        <v>0</v>
      </c>
      <c r="C2" s="38"/>
      <c r="D2" s="38"/>
      <c r="E2" s="38"/>
    </row>
    <row r="3" spans="2:12" ht="3" customHeight="1"/>
    <row r="4" spans="2:12">
      <c r="B4" s="57" t="s">
        <v>241</v>
      </c>
      <c r="C4" s="58"/>
      <c r="D4" s="57" t="s">
        <v>14</v>
      </c>
      <c r="E4" s="58"/>
      <c r="H4" s="2" t="s">
        <v>242</v>
      </c>
    </row>
    <row r="5" spans="2:12">
      <c r="B5" s="1" t="s">
        <v>243</v>
      </c>
      <c r="C5" s="97">
        <v>0.05</v>
      </c>
      <c r="D5" s="1" t="s">
        <v>244</v>
      </c>
      <c r="H5" s="1" t="s">
        <v>245</v>
      </c>
      <c r="I5" s="1" t="s">
        <v>246</v>
      </c>
      <c r="J5" s="1" t="s">
        <v>238</v>
      </c>
      <c r="K5" s="1" t="s">
        <v>247</v>
      </c>
      <c r="L5" s="1" t="s">
        <v>14</v>
      </c>
    </row>
    <row r="6" spans="2:12">
      <c r="B6" s="1" t="s">
        <v>248</v>
      </c>
      <c r="C6" s="97">
        <v>4.3700000000000003E-2</v>
      </c>
      <c r="H6" s="82">
        <v>2027</v>
      </c>
      <c r="I6" s="101">
        <v>250000000</v>
      </c>
      <c r="J6" s="49">
        <v>1</v>
      </c>
      <c r="L6" s="1" t="s">
        <v>249</v>
      </c>
    </row>
    <row r="7" spans="2:12">
      <c r="B7" s="1" t="s">
        <v>250</v>
      </c>
      <c r="C7" s="98">
        <f>Beta!J3</f>
        <v>0.48281815906096165</v>
      </c>
      <c r="D7" s="1" t="s">
        <v>251</v>
      </c>
    </row>
    <row r="8" spans="2:12">
      <c r="B8" s="2" t="s">
        <v>252</v>
      </c>
      <c r="C8" s="87">
        <f>C7*C5+C6</f>
        <v>6.7840907953048091E-2</v>
      </c>
      <c r="D8" s="1" t="s">
        <v>253</v>
      </c>
    </row>
    <row r="10" spans="2:12">
      <c r="B10" s="1" t="s">
        <v>254</v>
      </c>
      <c r="C10" s="87">
        <f>C6+0.25%</f>
        <v>4.6200000000000005E-2</v>
      </c>
      <c r="D10" s="1" t="s">
        <v>255</v>
      </c>
    </row>
    <row r="11" spans="2:12">
      <c r="B11" s="1" t="s">
        <v>209</v>
      </c>
      <c r="C11" s="96">
        <f>Projections!G29</f>
        <v>0.24238672270739769</v>
      </c>
      <c r="D11" s="1" t="s">
        <v>256</v>
      </c>
    </row>
    <row r="12" spans="2:12">
      <c r="B12" s="2" t="s">
        <v>257</v>
      </c>
      <c r="C12" s="87">
        <f>C10*(1-C11)</f>
        <v>3.500173341091823E-2</v>
      </c>
    </row>
    <row r="14" spans="2:12">
      <c r="B14" s="1" t="s">
        <v>258</v>
      </c>
      <c r="C14" s="104">
        <v>43.91</v>
      </c>
      <c r="D14" s="1" t="s">
        <v>259</v>
      </c>
    </row>
    <row r="15" spans="2:12">
      <c r="B15" s="1" t="s">
        <v>260</v>
      </c>
      <c r="C15" s="23">
        <v>103827000</v>
      </c>
      <c r="D15" s="1" t="s">
        <v>261</v>
      </c>
    </row>
    <row r="16" spans="2:12">
      <c r="B16" s="2" t="s">
        <v>262</v>
      </c>
      <c r="C16" s="105">
        <f>C15*C14/1000</f>
        <v>4559043.57</v>
      </c>
      <c r="D16" s="1" t="s">
        <v>263</v>
      </c>
    </row>
    <row r="17" spans="2:5">
      <c r="B17" s="2" t="s">
        <v>154</v>
      </c>
      <c r="C17" s="106">
        <f>Projections!F61+Projections!F62</f>
        <v>1404075</v>
      </c>
      <c r="D17" s="1" t="s">
        <v>264</v>
      </c>
    </row>
    <row r="18" spans="2:5">
      <c r="B18" s="108" t="s">
        <v>265</v>
      </c>
      <c r="C18" s="79">
        <f>C16/SUM($C$16:$C$17)</f>
        <v>0.76454015067488423</v>
      </c>
    </row>
    <row r="19" spans="2:5">
      <c r="B19" s="108" t="s">
        <v>266</v>
      </c>
      <c r="C19" s="79">
        <f>C17/SUM($C$16:$C$17)</f>
        <v>0.23545984932511579</v>
      </c>
    </row>
    <row r="21" spans="2:5">
      <c r="B21" s="57" t="s">
        <v>222</v>
      </c>
      <c r="C21" s="107">
        <f>C12*(C17/SUM(C16:C17))+C8*(C16/SUM(C16:C17))</f>
        <v>6.0108600863397019E-2</v>
      </c>
      <c r="D21" s="57"/>
      <c r="E21" s="57"/>
    </row>
    <row r="23" spans="2:5">
      <c r="B23" s="3" t="s">
        <v>267</v>
      </c>
      <c r="C23" s="61">
        <f>C14</f>
        <v>43.91</v>
      </c>
    </row>
    <row r="24" spans="2:5">
      <c r="B24" s="6" t="s">
        <v>260</v>
      </c>
      <c r="C24" s="62">
        <f>C15</f>
        <v>103827000</v>
      </c>
    </row>
    <row r="25" spans="2:5">
      <c r="B25" s="63" t="s">
        <v>153</v>
      </c>
      <c r="C25" s="64">
        <f>C24*C23</f>
        <v>4559043570</v>
      </c>
      <c r="D25" s="1" t="s">
        <v>268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E6B23-940F-44D2-8CCC-F10497E34F4B}">
  <dimension ref="A1:AC82"/>
  <sheetViews>
    <sheetView showGridLines="0" zoomScale="78" zoomScaleNormal="100" workbookViewId="0">
      <selection activeCell="F24" sqref="F24"/>
    </sheetView>
  </sheetViews>
  <sheetFormatPr defaultColWidth="8.85546875" defaultRowHeight="14.45"/>
  <cols>
    <col min="1" max="1" width="2.42578125" style="1" customWidth="1"/>
    <col min="2" max="2" width="61.85546875" style="1" customWidth="1"/>
    <col min="3" max="12" width="11.5703125" style="23" customWidth="1"/>
    <col min="13" max="13" width="9.85546875" style="23" bestFit="1" customWidth="1"/>
    <col min="14" max="16384" width="8.85546875" style="23"/>
  </cols>
  <sheetData>
    <row r="1" spans="1:29" s="1" customFormat="1"/>
    <row r="2" spans="1:29" s="1" customFormat="1">
      <c r="A2" s="1" t="s">
        <v>9</v>
      </c>
      <c r="B2" s="20" t="s">
        <v>10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</row>
    <row r="3" spans="1:29" s="1" customFormat="1">
      <c r="A3" s="1" t="s">
        <v>9</v>
      </c>
      <c r="B3" s="21" t="s">
        <v>269</v>
      </c>
      <c r="C3" s="21">
        <v>2019</v>
      </c>
      <c r="D3" s="21">
        <v>2020</v>
      </c>
      <c r="E3" s="21">
        <v>2021</v>
      </c>
      <c r="F3" s="21">
        <v>2022</v>
      </c>
      <c r="G3" s="21">
        <v>2023</v>
      </c>
      <c r="H3" s="21">
        <v>2024</v>
      </c>
      <c r="I3" s="21">
        <v>2025</v>
      </c>
      <c r="J3" s="21">
        <v>2026</v>
      </c>
      <c r="K3" s="21">
        <v>2027</v>
      </c>
      <c r="L3" s="21">
        <v>2028</v>
      </c>
      <c r="M3" s="21" t="s">
        <v>14</v>
      </c>
    </row>
    <row r="4" spans="1:29" s="1" customFormat="1">
      <c r="B4" s="108" t="s">
        <v>15</v>
      </c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</row>
    <row r="5" spans="1:29" s="1" customFormat="1">
      <c r="B5" s="43" t="s">
        <v>16</v>
      </c>
      <c r="C5" s="110">
        <f>5634835*0.577</f>
        <v>3251299.7949999999</v>
      </c>
      <c r="D5" s="110">
        <f>6468759*0.572</f>
        <v>3700130.1479999996</v>
      </c>
      <c r="E5" s="110">
        <f>6099869*0.577</f>
        <v>3519624.4129999997</v>
      </c>
      <c r="F5" s="110">
        <f>6404223*0.58</f>
        <v>3714449.34</v>
      </c>
      <c r="G5" s="109">
        <f t="shared" ref="G5:L5" si="0">F5*(1+G6)</f>
        <v>4078465.3753200001</v>
      </c>
      <c r="H5" s="109">
        <f t="shared" si="0"/>
        <v>4458170.5017622923</v>
      </c>
      <c r="I5" s="109">
        <f t="shared" si="0"/>
        <v>4823419.4946306739</v>
      </c>
      <c r="J5" s="109">
        <f t="shared" si="0"/>
        <v>5171171.8335040435</v>
      </c>
      <c r="K5" s="109">
        <f t="shared" si="0"/>
        <v>5499257.0538753308</v>
      </c>
      <c r="L5" s="109">
        <f t="shared" si="0"/>
        <v>5806289.583064233</v>
      </c>
      <c r="M5" s="108"/>
    </row>
    <row r="6" spans="1:29" s="1" customFormat="1">
      <c r="B6" s="44" t="s">
        <v>17</v>
      </c>
      <c r="C6" s="45"/>
      <c r="D6" s="94">
        <f>(D5-C5)/C5</f>
        <v>0.13804643720958365</v>
      </c>
      <c r="E6" s="94">
        <f>(E5-D5)/D5</f>
        <v>-4.8783617813434786E-2</v>
      </c>
      <c r="F6" s="94">
        <f>(F5-E5)/E5</f>
        <v>5.5353896932979409E-2</v>
      </c>
      <c r="G6" s="94">
        <v>9.8000000000000004E-2</v>
      </c>
      <c r="H6" s="48">
        <f>G6*0.95</f>
        <v>9.3100000000000002E-2</v>
      </c>
      <c r="I6" s="48">
        <f>H6*0.88</f>
        <v>8.1928000000000001E-2</v>
      </c>
      <c r="J6" s="48">
        <f>I6*0.88</f>
        <v>7.2096640000000004E-2</v>
      </c>
      <c r="K6" s="48">
        <f>J6*0.88</f>
        <v>6.3445043200000009E-2</v>
      </c>
      <c r="L6" s="48">
        <f>K6*0.88</f>
        <v>5.583163801600001E-2</v>
      </c>
      <c r="M6" s="108"/>
    </row>
    <row r="7" spans="1:29" s="1" customFormat="1">
      <c r="B7" s="43" t="s">
        <v>18</v>
      </c>
      <c r="C7" s="110">
        <f>5634835*0.423</f>
        <v>2383535.2050000001</v>
      </c>
      <c r="D7" s="110">
        <f>6468759*0.428</f>
        <v>2768628.852</v>
      </c>
      <c r="E7" s="110">
        <f>6099869*0.423</f>
        <v>2580244.5869999998</v>
      </c>
      <c r="F7" s="110">
        <f>6404223*0.42</f>
        <v>2689773.6599999997</v>
      </c>
      <c r="G7" s="109">
        <f t="shared" ref="G7:L7" si="1">F7*(1+G8)</f>
        <v>2947991.9313599998</v>
      </c>
      <c r="H7" s="109">
        <f t="shared" si="1"/>
        <v>3216848.7955000317</v>
      </c>
      <c r="I7" s="109">
        <f t="shared" si="1"/>
        <v>3475020.2124316827</v>
      </c>
      <c r="J7" s="109">
        <f t="shared" si="1"/>
        <v>3720444.4879403301</v>
      </c>
      <c r="K7" s="109">
        <f t="shared" si="1"/>
        <v>3951671.0295833438</v>
      </c>
      <c r="L7" s="109">
        <f t="shared" si="1"/>
        <v>4167796.6783820488</v>
      </c>
      <c r="M7" s="108"/>
    </row>
    <row r="8" spans="1:29" s="1" customFormat="1">
      <c r="B8" s="44" t="s">
        <v>17</v>
      </c>
      <c r="C8" s="45"/>
      <c r="D8" s="94">
        <f>(D7-C7)/C7</f>
        <v>0.16156406928338191</v>
      </c>
      <c r="E8" s="94">
        <f>(E7-D7)/D7</f>
        <v>-6.8042440886908792E-2</v>
      </c>
      <c r="F8" s="94">
        <f>(F7-E7)/E7</f>
        <v>4.2449104845268634E-2</v>
      </c>
      <c r="G8" s="94">
        <v>9.6000000000000002E-2</v>
      </c>
      <c r="H8" s="94">
        <f>G8*0.95</f>
        <v>9.1200000000000003E-2</v>
      </c>
      <c r="I8" s="48">
        <f>H8*0.88</f>
        <v>8.0256000000000008E-2</v>
      </c>
      <c r="J8" s="48">
        <f>I8*0.88</f>
        <v>7.0625280000000012E-2</v>
      </c>
      <c r="K8" s="48">
        <f>J8*0.88</f>
        <v>6.2150246400000012E-2</v>
      </c>
      <c r="L8" s="48">
        <f>K8*0.88</f>
        <v>5.4692216832000012E-2</v>
      </c>
      <c r="M8" s="108"/>
    </row>
    <row r="9" spans="1:29" s="1" customFormat="1">
      <c r="B9" s="29" t="s">
        <v>19</v>
      </c>
      <c r="C9" s="95">
        <f t="shared" ref="C9:L9" si="2">C7+C5</f>
        <v>5634835</v>
      </c>
      <c r="D9" s="95">
        <f t="shared" si="2"/>
        <v>6468759</v>
      </c>
      <c r="E9" s="95">
        <f t="shared" si="2"/>
        <v>6099869</v>
      </c>
      <c r="F9" s="95">
        <f t="shared" si="2"/>
        <v>6404223</v>
      </c>
      <c r="G9" s="95">
        <f t="shared" si="2"/>
        <v>7026457.3066799995</v>
      </c>
      <c r="H9" s="95">
        <f t="shared" si="2"/>
        <v>7675019.297262324</v>
      </c>
      <c r="I9" s="95">
        <f t="shared" si="2"/>
        <v>8298439.7070623562</v>
      </c>
      <c r="J9" s="95">
        <f t="shared" si="2"/>
        <v>8891616.3214443736</v>
      </c>
      <c r="K9" s="95">
        <f t="shared" si="2"/>
        <v>9450928.0834586751</v>
      </c>
      <c r="L9" s="95">
        <f t="shared" si="2"/>
        <v>9974086.2614462823</v>
      </c>
    </row>
    <row r="10" spans="1:29" s="1" customFormat="1"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</row>
    <row r="11" spans="1:29" s="1" customFormat="1"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</row>
    <row r="12" spans="1:29" s="1" customFormat="1"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</row>
    <row r="13" spans="1:29" s="1" customFormat="1"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</row>
    <row r="14" spans="1:29" s="1" customFormat="1"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 spans="1:29" s="1" customFormat="1"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</row>
    <row r="16" spans="1:29" s="1" customFormat="1"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</row>
    <row r="17" spans="3:29" s="1" customFormat="1"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</row>
    <row r="18" spans="3:29" s="1" customFormat="1"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</row>
    <row r="19" spans="3:29" s="1" customFormat="1"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</row>
    <row r="20" spans="3:29" s="1" customFormat="1"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 spans="3:29" s="1" customFormat="1"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 spans="3:29" s="1" customFormat="1"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 spans="3:29" s="1" customFormat="1" ht="14.45" customHeight="1"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 spans="3:29" s="1" customFormat="1" ht="14.45" customHeight="1"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 spans="3:29" s="1" customFormat="1"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 spans="3:29" s="1" customFormat="1"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 spans="3:29" s="1" customFormat="1"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 spans="3:29" s="1" customFormat="1"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3:29" s="1" customFormat="1"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 spans="3:29" s="1" customFormat="1"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3:29" s="1" customFormat="1"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 spans="3:29" s="1" customFormat="1"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 spans="1:29" s="1" customFormat="1"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 spans="1:29" s="1" customFormat="1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:29" s="1" customFormat="1"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:29" s="1" customFormat="1">
      <c r="A36" s="1" t="s">
        <v>9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:29" s="1" customFormat="1"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s="1" customFormat="1"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:29" s="1" customFormat="1"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 spans="1:29" s="1" customFormat="1"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 spans="1:29" s="1" customFormat="1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 spans="1:29" s="1" customFormat="1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 spans="1:29" s="1" customFormat="1"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74" spans="1:1">
      <c r="A74" s="1" t="s">
        <v>9</v>
      </c>
    </row>
    <row r="75" spans="1:1" ht="2.1" customHeight="1"/>
    <row r="82" spans="1:1">
      <c r="A82" s="1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5A62-6690-48B9-8946-BBF7ED9C041E}">
  <dimension ref="B2:C36"/>
  <sheetViews>
    <sheetView topLeftCell="E22" zoomScale="99" workbookViewId="0">
      <selection activeCell="M42" sqref="M42"/>
    </sheetView>
  </sheetViews>
  <sheetFormatPr defaultRowHeight="14.45"/>
  <cols>
    <col min="2" max="2" width="13.140625" bestFit="1" customWidth="1"/>
  </cols>
  <sheetData>
    <row r="2" spans="2:3">
      <c r="B2" t="s">
        <v>270</v>
      </c>
      <c r="C2" t="s">
        <v>271</v>
      </c>
    </row>
    <row r="3" spans="2:3">
      <c r="B3" t="s">
        <v>272</v>
      </c>
      <c r="C3">
        <v>3</v>
      </c>
    </row>
    <row r="4" spans="2:3">
      <c r="B4" t="s">
        <v>273</v>
      </c>
      <c r="C4">
        <v>45</v>
      </c>
    </row>
    <row r="5" spans="2:3">
      <c r="B5" t="s">
        <v>274</v>
      </c>
      <c r="C5">
        <v>142</v>
      </c>
    </row>
    <row r="6" spans="2:3">
      <c r="B6" t="s">
        <v>275</v>
      </c>
      <c r="C6">
        <v>33</v>
      </c>
    </row>
    <row r="7" spans="2:3">
      <c r="B7" t="s">
        <v>276</v>
      </c>
      <c r="C7">
        <v>1</v>
      </c>
    </row>
    <row r="8" spans="2:3">
      <c r="B8" t="s">
        <v>277</v>
      </c>
      <c r="C8">
        <v>45</v>
      </c>
    </row>
    <row r="9" spans="2:3">
      <c r="B9" t="s">
        <v>278</v>
      </c>
      <c r="C9">
        <v>16</v>
      </c>
    </row>
    <row r="10" spans="2:3">
      <c r="B10" t="s">
        <v>279</v>
      </c>
      <c r="C10">
        <v>4</v>
      </c>
    </row>
    <row r="11" spans="2:3">
      <c r="B11" t="s">
        <v>280</v>
      </c>
      <c r="C11">
        <v>1</v>
      </c>
    </row>
    <row r="12" spans="2:3">
      <c r="B12" t="s">
        <v>281</v>
      </c>
      <c r="C12">
        <v>6</v>
      </c>
    </row>
    <row r="13" spans="2:3">
      <c r="B13" t="s">
        <v>282</v>
      </c>
      <c r="C13">
        <v>3</v>
      </c>
    </row>
    <row r="14" spans="2:3">
      <c r="B14" t="s">
        <v>283</v>
      </c>
      <c r="C14">
        <v>16</v>
      </c>
    </row>
    <row r="15" spans="2:3">
      <c r="B15" t="s">
        <v>284</v>
      </c>
      <c r="C15">
        <v>2</v>
      </c>
    </row>
    <row r="16" spans="2:3">
      <c r="B16" t="s">
        <v>285</v>
      </c>
      <c r="C16">
        <v>9</v>
      </c>
    </row>
    <row r="17" spans="2:3">
      <c r="B17" t="s">
        <v>286</v>
      </c>
      <c r="C17">
        <v>6</v>
      </c>
    </row>
    <row r="18" spans="2:3">
      <c r="B18" t="s">
        <v>287</v>
      </c>
      <c r="C18">
        <v>11</v>
      </c>
    </row>
    <row r="19" spans="2:3">
      <c r="B19" t="s">
        <v>288</v>
      </c>
      <c r="C19">
        <v>2</v>
      </c>
    </row>
    <row r="20" spans="2:3">
      <c r="B20" t="s">
        <v>289</v>
      </c>
      <c r="C20">
        <v>1</v>
      </c>
    </row>
    <row r="21" spans="2:3">
      <c r="B21" t="s">
        <v>290</v>
      </c>
      <c r="C21">
        <v>7</v>
      </c>
    </row>
    <row r="22" spans="2:3">
      <c r="B22" t="s">
        <v>291</v>
      </c>
      <c r="C22">
        <v>51</v>
      </c>
    </row>
    <row r="23" spans="2:3">
      <c r="B23" t="s">
        <v>292</v>
      </c>
      <c r="C23">
        <v>5</v>
      </c>
    </row>
    <row r="24" spans="2:3">
      <c r="B24" t="s">
        <v>293</v>
      </c>
      <c r="C24">
        <v>2</v>
      </c>
    </row>
    <row r="25" spans="2:3">
      <c r="B25" t="s">
        <v>294</v>
      </c>
      <c r="C25">
        <v>3</v>
      </c>
    </row>
    <row r="26" spans="2:3">
      <c r="C26">
        <f>SUM(C3:C25)</f>
        <v>414</v>
      </c>
    </row>
    <row r="28" spans="2:3">
      <c r="B28" s="160" t="s">
        <v>295</v>
      </c>
      <c r="C28" s="160" t="s">
        <v>296</v>
      </c>
    </row>
    <row r="29" spans="2:3">
      <c r="B29" s="162" t="s">
        <v>143</v>
      </c>
      <c r="C29" s="163">
        <v>5.2400000000000002E-2</v>
      </c>
    </row>
    <row r="30" spans="2:3">
      <c r="B30" s="1" t="s">
        <v>164</v>
      </c>
      <c r="C30" s="161">
        <v>2.18E-2</v>
      </c>
    </row>
    <row r="31" spans="2:3">
      <c r="B31" s="1" t="s">
        <v>166</v>
      </c>
      <c r="C31" s="161">
        <v>2.0799999999999999E-2</v>
      </c>
    </row>
    <row r="32" spans="2:3">
      <c r="B32" s="1" t="s">
        <v>168</v>
      </c>
      <c r="C32" s="161">
        <v>2.2800000000000001E-2</v>
      </c>
    </row>
    <row r="33" spans="2:3">
      <c r="B33" s="1" t="s">
        <v>170</v>
      </c>
      <c r="C33" s="161">
        <v>3.0800000000000001E-2</v>
      </c>
    </row>
    <row r="34" spans="2:3">
      <c r="B34" s="1" t="s">
        <v>172</v>
      </c>
      <c r="C34" s="161">
        <v>2.7799999999999998E-2</v>
      </c>
    </row>
    <row r="35" spans="2:3">
      <c r="B35" s="1" t="s">
        <v>174</v>
      </c>
      <c r="C35" s="161">
        <v>3.4500000000000003E-2</v>
      </c>
    </row>
    <row r="36" spans="2:3">
      <c r="B36" s="160" t="s">
        <v>297</v>
      </c>
      <c r="C36" s="161">
        <v>2.6499999999999999E-2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Sneddon, Abby</dc:creator>
  <cp:keywords/>
  <dc:description/>
  <cp:lastModifiedBy/>
  <cp:revision/>
  <dcterms:created xsi:type="dcterms:W3CDTF">2023-11-07T01:54:15Z</dcterms:created>
  <dcterms:modified xsi:type="dcterms:W3CDTF">2024-06-18T18:47:41Z</dcterms:modified>
  <cp:category/>
  <cp:contentStatus/>
</cp:coreProperties>
</file>